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Bm\C\CA\CAE\03-SPT\TE12-CENTRE ETUDES\7-DAO-TRAVAUX DIVERS\20200907_Infiltrations_Calculs\"/>
    </mc:Choice>
  </mc:AlternateContent>
  <xr:revisionPtr revIDLastSave="0" documentId="13_ncr:1_{0BC3BD87-3BFD-40F8-8DFD-C8825CAA70A7}" xr6:coauthVersionLast="44" xr6:coauthVersionMax="44" xr10:uidLastSave="{00000000-0000-0000-0000-000000000000}"/>
  <bookViews>
    <workbookView xWindow="-120" yWindow="-120" windowWidth="25440" windowHeight="15390" firstSheet="1" activeTab="1" xr2:uid="{00000000-000D-0000-FFFF-FFFF00000000}"/>
  </bookViews>
  <sheets>
    <sheet name="Données" sheetId="6" state="hidden" r:id="rId1"/>
    <sheet name="F1b rejet (simplifiée)" sheetId="10" r:id="rId2"/>
    <sheet name="old" sheetId="5" state="hidden" r:id="rId3"/>
  </sheets>
  <definedNames>
    <definedName name="_xlnm._FilterDatabase" localSheetId="1" hidden="1">'F1b rejet (simplifiée)'!$P$12:$P$34</definedName>
    <definedName name="_xlnm._FilterDatabase" localSheetId="2" hidden="1">old!$P$12:$P$34</definedName>
    <definedName name="Ca">#REF!</definedName>
    <definedName name="Clef" localSheetId="1">'F1b rejet (simplifiée)'!#REF!</definedName>
    <definedName name="Clef">old!#REF!</definedName>
    <definedName name="Cq" localSheetId="1">'F1b rejet (simplifiée)'!$O$29</definedName>
    <definedName name="Cq">old!$O$29</definedName>
    <definedName name="cqmax" localSheetId="1">'F1b rejet (simplifiée)'!$O$30</definedName>
    <definedName name="cqmax">old!$O$30</definedName>
    <definedName name="cV" localSheetId="1">'F1b rejet (simplifiée)'!#REF!</definedName>
    <definedName name="cV">old!#REF!</definedName>
    <definedName name="date" localSheetId="1">'F1b rejet (simplifiée)'!$A$10</definedName>
    <definedName name="date">old!$A$10</definedName>
    <definedName name="Hc" localSheetId="1">'F1b rejet (simplifiée)'!$G$42</definedName>
    <definedName name="Hc">old!$G$42</definedName>
    <definedName name="Ho" localSheetId="1">'F1b rejet (simplifiée)'!$J$42</definedName>
    <definedName name="Ho">old!$J$42</definedName>
    <definedName name="Hs" localSheetId="1">'F1b rejet (simplifiée)'!$D$42</definedName>
    <definedName name="Hs">old!$D$42</definedName>
    <definedName name="Iv" localSheetId="1">'F1b rejet (simplifiée)'!$G$37</definedName>
    <definedName name="Iv">old!$G$37</definedName>
    <definedName name="Marée" localSheetId="1">'F1b rejet (simplifiée)'!$O$24</definedName>
    <definedName name="Marée">old!$O$24</definedName>
    <definedName name="qf" localSheetId="1">'F1b rejet (simplifiée)'!$O$25</definedName>
    <definedName name="qf">old!$O$25</definedName>
    <definedName name="qfc" localSheetId="1">'F1b rejet (simplifiée)'!$G$30</definedName>
    <definedName name="qfc">old!$G$30</definedName>
    <definedName name="Qfmax" localSheetId="1">'F1b rejet (simplifiée)'!$O$35</definedName>
    <definedName name="Qfmax">old!$O$35</definedName>
    <definedName name="Qfx" localSheetId="1">'F1b rejet (simplifiée)'!$O$31</definedName>
    <definedName name="Qfx">old!$O$31</definedName>
    <definedName name="Qgen" localSheetId="1">'F1b rejet (simplifiée)'!$O$9</definedName>
    <definedName name="Qgen">old!$O$9</definedName>
    <definedName name="Qmar" localSheetId="1">'F1b rejet (simplifiée)'!$O$10</definedName>
    <definedName name="Qmar">old!$O$10</definedName>
    <definedName name="qmini" localSheetId="1">'F1b rejet (simplifiée)'!$O$8</definedName>
    <definedName name="qmini">old!$O$8</definedName>
    <definedName name="recu">#REF!</definedName>
    <definedName name="Sa" localSheetId="1">'F1b rejet (simplifiée)'!$J$23</definedName>
    <definedName name="Sa">old!$J$23</definedName>
    <definedName name="Sae" localSheetId="1">'F1b rejet (simplifiée)'!#REF!</definedName>
    <definedName name="Sae">old!#REF!</definedName>
    <definedName name="Sap" localSheetId="1">'F1b rejet (simplifiée)'!$J$23</definedName>
    <definedName name="Sap">old!$J$23</definedName>
    <definedName name="Sc" localSheetId="1">'F1b rejet (simplifiée)'!$O$50</definedName>
    <definedName name="Sc">old!$O$50</definedName>
    <definedName name="So" localSheetId="1">'F1b rejet (simplifiée)'!$D$44</definedName>
    <definedName name="So">old!$D$44</definedName>
    <definedName name="St" localSheetId="1">'F1b rejet (simplifiée)'!$G$23</definedName>
    <definedName name="St">old!$G$23</definedName>
    <definedName name="V0" localSheetId="1">'F1b rejet (simplifiée)'!#REF!</definedName>
    <definedName name="V0">old!#REF!</definedName>
    <definedName name="Vu" localSheetId="1">'F1b rejet (simplifiée)'!#REF!</definedName>
    <definedName name="Vu">old!#REF!</definedName>
    <definedName name="Vuc" localSheetId="1">'F1b rejet (simplifiée)'!$D$30</definedName>
    <definedName name="Vuc">old!$D$30</definedName>
    <definedName name="_xlnm.Print_Area" localSheetId="1">'F1b rejet (simplifiée)'!$A$1:$L$50</definedName>
    <definedName name="_xlnm.Print_Area" localSheetId="2">old!$A$1:$L$50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2" i="5" l="1"/>
  <c r="G42" i="5"/>
  <c r="D42" i="5"/>
  <c r="A50" i="10" l="1"/>
  <c r="A10" i="10" l="1"/>
  <c r="J14" i="10"/>
  <c r="J16" i="10"/>
  <c r="J18" i="10"/>
  <c r="G23" i="10"/>
  <c r="O29" i="10"/>
  <c r="O34" i="10"/>
  <c r="O35" i="10" s="1"/>
  <c r="O30" i="10"/>
  <c r="O31" i="10"/>
  <c r="H47" i="10"/>
  <c r="O50" i="10"/>
  <c r="J14" i="5"/>
  <c r="J16" i="5"/>
  <c r="J18" i="5"/>
  <c r="H47" i="5"/>
  <c r="G23" i="5"/>
  <c r="C1" i="6"/>
  <c r="D7" i="6"/>
  <c r="D14" i="6" s="1"/>
  <c r="E7" i="6"/>
  <c r="E13" i="6" s="1"/>
  <c r="F7" i="6"/>
  <c r="F14" i="6" s="1"/>
  <c r="F13" i="6"/>
  <c r="G7" i="6"/>
  <c r="G13" i="6" s="1"/>
  <c r="H7" i="6"/>
  <c r="H15" i="6" s="1"/>
  <c r="H13" i="6"/>
  <c r="I7" i="6"/>
  <c r="I13" i="6" s="1"/>
  <c r="J7" i="6"/>
  <c r="J12" i="6" s="1"/>
  <c r="K7" i="6"/>
  <c r="K12" i="6" s="1"/>
  <c r="K17" i="6" s="1"/>
  <c r="L7" i="6"/>
  <c r="L13" i="6" s="1"/>
  <c r="L12" i="6"/>
  <c r="L17" i="6" s="1"/>
  <c r="M7" i="6"/>
  <c r="M15" i="6" s="1"/>
  <c r="N7" i="6"/>
  <c r="N12" i="6" s="1"/>
  <c r="O7" i="6"/>
  <c r="O15" i="6" s="1"/>
  <c r="P7" i="6"/>
  <c r="P12" i="6" s="1"/>
  <c r="Q7" i="6"/>
  <c r="Q14" i="6" s="1"/>
  <c r="R7" i="6"/>
  <c r="R15" i="6" s="1"/>
  <c r="S7" i="6"/>
  <c r="S14" i="6" s="1"/>
  <c r="T7" i="6"/>
  <c r="T13" i="6" s="1"/>
  <c r="U6" i="6"/>
  <c r="U13" i="6" s="1"/>
  <c r="C6" i="6"/>
  <c r="C14" i="6" s="1"/>
  <c r="C13" i="6"/>
  <c r="O29" i="5"/>
  <c r="O30" i="5" s="1"/>
  <c r="O31" i="5"/>
  <c r="O50" i="5"/>
  <c r="B9" i="6"/>
  <c r="Q6" i="6"/>
  <c r="Q9" i="6"/>
  <c r="P5" i="6"/>
  <c r="P9" i="6" s="1"/>
  <c r="R12" i="6"/>
  <c r="U7" i="6"/>
  <c r="C7" i="6"/>
  <c r="D6" i="6"/>
  <c r="E6" i="6"/>
  <c r="F6" i="6"/>
  <c r="G6" i="6"/>
  <c r="H6" i="6"/>
  <c r="I6" i="6"/>
  <c r="J6" i="6"/>
  <c r="K6" i="6"/>
  <c r="K16" i="6" s="1"/>
  <c r="L6" i="6"/>
  <c r="L16" i="6" s="1"/>
  <c r="M6" i="6"/>
  <c r="M16" i="6" s="1"/>
  <c r="N6" i="6"/>
  <c r="O6" i="6"/>
  <c r="P6" i="6"/>
  <c r="R6" i="6"/>
  <c r="S6" i="6"/>
  <c r="T6" i="6"/>
  <c r="B10" i="6"/>
  <c r="B11" i="6"/>
  <c r="G5" i="6"/>
  <c r="G10" i="6" s="1"/>
  <c r="H5" i="6"/>
  <c r="H11" i="6"/>
  <c r="G11" i="6"/>
  <c r="E5" i="6"/>
  <c r="F5" i="6"/>
  <c r="I5" i="6"/>
  <c r="J5" i="6"/>
  <c r="K5" i="6"/>
  <c r="L5" i="6"/>
  <c r="M5" i="6"/>
  <c r="N5" i="6"/>
  <c r="O5" i="6"/>
  <c r="Q5" i="6"/>
  <c r="R5" i="6"/>
  <c r="S5" i="6"/>
  <c r="A10" i="5"/>
  <c r="A50" i="5"/>
  <c r="U5" i="6"/>
  <c r="T5" i="6"/>
  <c r="D5" i="6"/>
  <c r="C5" i="6"/>
  <c r="O34" i="5"/>
  <c r="O35" i="5" s="1"/>
  <c r="F15" i="6"/>
  <c r="F12" i="6"/>
  <c r="J23" i="5" l="1"/>
  <c r="U14" i="6"/>
  <c r="K14" i="6"/>
  <c r="D13" i="6"/>
  <c r="D19" i="6" s="1"/>
  <c r="O14" i="6"/>
  <c r="K15" i="6"/>
  <c r="H12" i="6"/>
  <c r="N13" i="6"/>
  <c r="I14" i="6"/>
  <c r="M13" i="6"/>
  <c r="M19" i="6" s="1"/>
  <c r="R14" i="6"/>
  <c r="I15" i="6"/>
  <c r="I12" i="6"/>
  <c r="Q13" i="6"/>
  <c r="Q19" i="6" s="1"/>
  <c r="H10" i="6"/>
  <c r="M12" i="6"/>
  <c r="M17" i="6" s="1"/>
  <c r="M14" i="6"/>
  <c r="H14" i="6"/>
  <c r="L15" i="6"/>
  <c r="O12" i="6"/>
  <c r="G14" i="6"/>
  <c r="Q12" i="6"/>
  <c r="R13" i="6"/>
  <c r="R19" i="6" s="1"/>
  <c r="L14" i="6"/>
  <c r="P14" i="6"/>
  <c r="Q15" i="6"/>
  <c r="H19" i="6"/>
  <c r="J23" i="10"/>
  <c r="D30" i="5"/>
  <c r="J37" i="5" s="1"/>
  <c r="D29" i="5"/>
  <c r="K30" i="5" s="1"/>
  <c r="D47" i="5" s="1"/>
  <c r="D44" i="5" s="1"/>
  <c r="J44" i="5" s="1"/>
  <c r="G44" i="5" s="1"/>
  <c r="D23" i="5"/>
  <c r="E19" i="6"/>
  <c r="J15" i="6"/>
  <c r="C20" i="6"/>
  <c r="N20" i="6"/>
  <c r="F20" i="6"/>
  <c r="U20" i="6"/>
  <c r="M20" i="6"/>
  <c r="E20" i="6"/>
  <c r="N15" i="6"/>
  <c r="O13" i="6"/>
  <c r="O19" i="6" s="1"/>
  <c r="G12" i="6"/>
  <c r="T20" i="6"/>
  <c r="L20" i="6"/>
  <c r="D20" i="6"/>
  <c r="S13" i="6"/>
  <c r="S19" i="6" s="1"/>
  <c r="P15" i="6"/>
  <c r="N19" i="6"/>
  <c r="J13" i="6"/>
  <c r="J19" i="6" s="1"/>
  <c r="E14" i="6"/>
  <c r="L19" i="6"/>
  <c r="S20" i="6"/>
  <c r="K20" i="6"/>
  <c r="G19" i="6"/>
  <c r="E12" i="6"/>
  <c r="R20" i="6"/>
  <c r="J20" i="6"/>
  <c r="P13" i="6"/>
  <c r="P19" i="6" s="1"/>
  <c r="N14" i="6"/>
  <c r="I19" i="6"/>
  <c r="G15" i="6"/>
  <c r="U19" i="6"/>
  <c r="J14" i="6"/>
  <c r="S12" i="6"/>
  <c r="Q20" i="6"/>
  <c r="I20" i="6"/>
  <c r="K13" i="6"/>
  <c r="K19" i="6" s="1"/>
  <c r="T14" i="6"/>
  <c r="O20" i="6"/>
  <c r="G20" i="6"/>
  <c r="F19" i="6"/>
  <c r="P20" i="6"/>
  <c r="H20" i="6"/>
  <c r="T19" i="6"/>
  <c r="C19" i="6"/>
  <c r="D30" i="10" l="1"/>
  <c r="J37" i="10" s="1"/>
  <c r="D23" i="10"/>
  <c r="D29" i="10"/>
  <c r="K30" i="10" s="1"/>
  <c r="D47" i="10"/>
  <c r="D44" i="10" s="1"/>
  <c r="J44" i="10" s="1"/>
  <c r="G44" i="1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jjsigaud</author>
  </authors>
  <commentList>
    <comment ref="J10" authorId="0" shapeId="0" xr:uid="{00000000-0006-0000-0100-000001000000}">
      <text>
        <r>
          <rPr>
            <sz val="8"/>
            <color indexed="81"/>
            <rFont val="Tahoma"/>
          </rPr>
          <t>Choix dans liste déroulante</t>
        </r>
      </text>
    </comment>
    <comment ref="A25" authorId="0" shapeId="0" xr:uid="{00000000-0006-0000-0100-000002000000}">
      <text>
        <r>
          <rPr>
            <sz val="8"/>
            <color indexed="81"/>
            <rFont val="Tahoma"/>
          </rPr>
          <t xml:space="preserve">Fixée à minima à 10 ans
</t>
        </r>
      </text>
    </comment>
    <comment ref="A30" authorId="0" shapeId="0" xr:uid="{00000000-0006-0000-0100-000003000000}">
      <text>
        <r>
          <rPr>
            <sz val="8"/>
            <color indexed="81"/>
            <rFont val="Tahoma"/>
          </rPr>
          <t xml:space="preserve">Lorsque la surface active est inférieure à 1 000 m² le volume est ajusté au débit minimal de 0,3 l/s
</t>
        </r>
      </text>
    </comment>
    <comment ref="D33" authorId="0" shapeId="0" xr:uid="{00000000-0006-0000-0100-000004000000}">
      <text>
        <r>
          <rPr>
            <sz val="8"/>
            <color indexed="81"/>
            <rFont val="Tahoma"/>
          </rPr>
          <t xml:space="preserve">La calculette à droite fournit la section des canalisations circulaires
</t>
        </r>
      </text>
    </comment>
    <comment ref="D37" authorId="0" shapeId="0" xr:uid="{00000000-0006-0000-0100-000005000000}">
      <text>
        <r>
          <rPr>
            <sz val="8"/>
            <color indexed="81"/>
            <rFont val="Tahoma"/>
            <family val="2"/>
          </rPr>
          <t>Choix dans liste déroulante</t>
        </r>
        <r>
          <rPr>
            <sz val="8"/>
            <color indexed="81"/>
            <rFont val="Tahoma"/>
          </rPr>
          <t xml:space="preserve">
</t>
        </r>
      </text>
    </comment>
    <comment ref="G37" authorId="0" shapeId="0" xr:uid="{00000000-0006-0000-0100-000006000000}">
      <text>
        <r>
          <rPr>
            <sz val="8"/>
            <color indexed="81"/>
            <rFont val="Tahoma"/>
          </rPr>
          <t xml:space="preserve">Choix dans liste déroulante
</t>
        </r>
      </text>
    </comment>
    <comment ref="G42" authorId="0" shapeId="0" xr:uid="{00000000-0006-0000-0100-000007000000}">
      <text>
        <r>
          <rPr>
            <sz val="8"/>
            <color indexed="81"/>
            <rFont val="Tahoma"/>
          </rPr>
          <t xml:space="preserve">Son épaisseur varie selon le type d'ouvrage et le revêtement. Elle est au minimum de 30 cm pour un bassin à ciel ouvert et 10 cm dans les autres cas.
</t>
        </r>
      </text>
    </comment>
    <comment ref="J42" authorId="0" shapeId="0" xr:uid="{00000000-0006-0000-0100-000008000000}">
      <text>
        <r>
          <rPr>
            <sz val="8"/>
            <color indexed="81"/>
            <rFont val="Tahoma"/>
          </rPr>
          <t xml:space="preserve">Ne peut être inférieure à la hauteur de stockage
</t>
        </r>
      </text>
    </comment>
    <comment ref="G44" authorId="0" shapeId="0" xr:uid="{00000000-0006-0000-0100-000009000000}">
      <text>
        <r>
          <rPr>
            <sz val="8"/>
            <color indexed="81"/>
            <rFont val="Tahoma"/>
            <family val="2"/>
          </rPr>
          <t>Le diamètre minimal est fixé à 30 mm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jjsigaud</author>
  </authors>
  <commentList>
    <comment ref="J10" authorId="0" shapeId="0" xr:uid="{00000000-0006-0000-0200-000001000000}">
      <text>
        <r>
          <rPr>
            <sz val="8"/>
            <color indexed="81"/>
            <rFont val="Tahoma"/>
          </rPr>
          <t>Choix dans liste déroulante</t>
        </r>
      </text>
    </comment>
    <comment ref="A25" authorId="0" shapeId="0" xr:uid="{00000000-0006-0000-0200-000002000000}">
      <text>
        <r>
          <rPr>
            <sz val="8"/>
            <color indexed="81"/>
            <rFont val="Tahoma"/>
          </rPr>
          <t xml:space="preserve">Fixée à minima à 10 ans
</t>
        </r>
      </text>
    </comment>
    <comment ref="A30" authorId="0" shapeId="0" xr:uid="{00000000-0006-0000-0200-000003000000}">
      <text>
        <r>
          <rPr>
            <sz val="8"/>
            <color indexed="81"/>
            <rFont val="Tahoma"/>
          </rPr>
          <t xml:space="preserve">Lorsque la surface active est inférieure à 1 000 m² le volume est ajusté au débit minimal de 0,3 l/s
</t>
        </r>
      </text>
    </comment>
    <comment ref="D33" authorId="0" shapeId="0" xr:uid="{00000000-0006-0000-0200-000004000000}">
      <text>
        <r>
          <rPr>
            <sz val="8"/>
            <color indexed="81"/>
            <rFont val="Tahoma"/>
          </rPr>
          <t xml:space="preserve">La calculette à droite fournit la section des canalisations circulaires
</t>
        </r>
      </text>
    </comment>
    <comment ref="D37" authorId="0" shapeId="0" xr:uid="{00000000-0006-0000-0200-000005000000}">
      <text>
        <r>
          <rPr>
            <sz val="8"/>
            <color indexed="81"/>
            <rFont val="Tahoma"/>
            <family val="2"/>
          </rPr>
          <t>Choix dans liste déroulante</t>
        </r>
        <r>
          <rPr>
            <sz val="8"/>
            <color indexed="81"/>
            <rFont val="Tahoma"/>
          </rPr>
          <t xml:space="preserve">
</t>
        </r>
      </text>
    </comment>
    <comment ref="G37" authorId="0" shapeId="0" xr:uid="{00000000-0006-0000-0200-000006000000}">
      <text>
        <r>
          <rPr>
            <sz val="8"/>
            <color indexed="81"/>
            <rFont val="Tahoma"/>
          </rPr>
          <t xml:space="preserve">Choix dans liste déroulante
</t>
        </r>
      </text>
    </comment>
    <comment ref="G42" authorId="0" shapeId="0" xr:uid="{00000000-0006-0000-0200-000007000000}">
      <text>
        <r>
          <rPr>
            <sz val="8"/>
            <color indexed="81"/>
            <rFont val="Tahoma"/>
          </rPr>
          <t xml:space="preserve">Son épaisseur varie selon le type d'ouvrage et le revêtement. Elle est au minimum de 30 cm pour un bassin à ciel ouvert et 10 cm dans les autres cas.
</t>
        </r>
      </text>
    </comment>
    <comment ref="J42" authorId="0" shapeId="0" xr:uid="{00000000-0006-0000-0200-000008000000}">
      <text>
        <r>
          <rPr>
            <sz val="8"/>
            <color indexed="81"/>
            <rFont val="Tahoma"/>
          </rPr>
          <t xml:space="preserve">Ne peut être inférieure à la hauteur de stockage
</t>
        </r>
      </text>
    </comment>
    <comment ref="G44" authorId="0" shapeId="0" xr:uid="{00000000-0006-0000-0200-000009000000}">
      <text>
        <r>
          <rPr>
            <sz val="8"/>
            <color indexed="81"/>
            <rFont val="Tahoma"/>
            <family val="2"/>
          </rPr>
          <t>Le diamètre minimal est fixé à 30 mm</t>
        </r>
      </text>
    </comment>
  </commentList>
</comments>
</file>

<file path=xl/sharedStrings.xml><?xml version="1.0" encoding="utf-8"?>
<sst xmlns="http://schemas.openxmlformats.org/spreadsheetml/2006/main" count="251" uniqueCount="148">
  <si>
    <t>m²</t>
  </si>
  <si>
    <t>10 ans</t>
  </si>
  <si>
    <t>m³</t>
  </si>
  <si>
    <t>Volume réel de l'ouvrage</t>
  </si>
  <si>
    <t>m</t>
  </si>
  <si>
    <t>Pétitionnaire</t>
  </si>
  <si>
    <t>N° de dossier</t>
  </si>
  <si>
    <t>Date</t>
  </si>
  <si>
    <t>Iv</t>
  </si>
  <si>
    <t>Hs</t>
  </si>
  <si>
    <t>Commune</t>
  </si>
  <si>
    <t>Adresse</t>
  </si>
  <si>
    <t>NIVEAU DE PROTECTION</t>
  </si>
  <si>
    <t>Vu / Iv</t>
  </si>
  <si>
    <t>BORDEAUX</t>
  </si>
  <si>
    <t>Surfaces perméables, espaces verts,
surfaces non collectées, …</t>
  </si>
  <si>
    <t>Hauteur de stockage
ou marnage</t>
  </si>
  <si>
    <t>PRE DIMENSIONNEMENT DE L'OUVRAGE</t>
  </si>
  <si>
    <t>Surface active</t>
  </si>
  <si>
    <t>Surface élémentaire</t>
  </si>
  <si>
    <t>Coefficient d'apport</t>
  </si>
  <si>
    <t>Hc</t>
  </si>
  <si>
    <t>Coefficient d'apport
moyen</t>
  </si>
  <si>
    <t>Surface totale de
l'opération</t>
  </si>
  <si>
    <t>Surface active totale</t>
  </si>
  <si>
    <t>Ca = Sa/St</t>
  </si>
  <si>
    <t>Couverture
ou revanche</t>
  </si>
  <si>
    <t>Indice de vide</t>
  </si>
  <si>
    <t>PC 33063 12 X1001</t>
  </si>
  <si>
    <t>Direction de l'EAU</t>
  </si>
  <si>
    <t>REFERENCES DU DOSSIER D'AUTORISATION D'OCCUPATION DU SOL</t>
  </si>
  <si>
    <r>
      <t>Ca</t>
    </r>
    <r>
      <rPr>
        <b/>
        <vertAlign val="subscript"/>
        <sz val="10"/>
        <rFont val="Trebuchet MS"/>
        <family val="2"/>
      </rPr>
      <t>i</t>
    </r>
  </si>
  <si>
    <r>
      <t>S</t>
    </r>
    <r>
      <rPr>
        <b/>
        <vertAlign val="subscript"/>
        <sz val="10"/>
        <rFont val="Trebuchet MS"/>
        <family val="2"/>
      </rPr>
      <t>i</t>
    </r>
  </si>
  <si>
    <r>
      <t>Sa</t>
    </r>
    <r>
      <rPr>
        <b/>
        <vertAlign val="subscript"/>
        <sz val="10"/>
        <rFont val="Trebuchet MS"/>
        <family val="2"/>
      </rPr>
      <t>i</t>
    </r>
    <r>
      <rPr>
        <b/>
        <sz val="10"/>
        <rFont val="Trebuchet MS"/>
        <family val="2"/>
      </rPr>
      <t xml:space="preserve"> = S</t>
    </r>
    <r>
      <rPr>
        <b/>
        <vertAlign val="subscript"/>
        <sz val="10"/>
        <rFont val="Trebuchet MS"/>
        <family val="2"/>
      </rPr>
      <t>i</t>
    </r>
    <r>
      <rPr>
        <b/>
        <sz val="10"/>
        <rFont val="Trebuchet MS"/>
        <family val="2"/>
      </rPr>
      <t xml:space="preserve"> x Ca</t>
    </r>
    <r>
      <rPr>
        <b/>
        <vertAlign val="subscript"/>
        <sz val="10"/>
        <rFont val="Trebuchet MS"/>
        <family val="2"/>
      </rPr>
      <t>i</t>
    </r>
  </si>
  <si>
    <r>
      <t>St = ∑S</t>
    </r>
    <r>
      <rPr>
        <b/>
        <vertAlign val="subscript"/>
        <sz val="10"/>
        <rFont val="Trebuchet MS"/>
        <family val="2"/>
      </rPr>
      <t>i</t>
    </r>
  </si>
  <si>
    <r>
      <t>Sa = ∑Sa</t>
    </r>
    <r>
      <rPr>
        <b/>
        <vertAlign val="subscript"/>
        <sz val="10"/>
        <rFont val="Trebuchet MS"/>
        <family val="2"/>
      </rPr>
      <t>i</t>
    </r>
  </si>
  <si>
    <t>P.H.E.</t>
  </si>
  <si>
    <t>code 1</t>
  </si>
  <si>
    <t>code 2</t>
  </si>
  <si>
    <t>code 3</t>
  </si>
  <si>
    <t>code 4</t>
  </si>
  <si>
    <t>code 5</t>
  </si>
  <si>
    <t>seuls les champs de couleur verte sont à renseigner</t>
  </si>
  <si>
    <t>Pluviométrie de référence - période de retour</t>
  </si>
  <si>
    <t>Terrain aménagé</t>
  </si>
  <si>
    <t>Tour Aquitaine</t>
  </si>
  <si>
    <t>rue Corps franc Pommiès</t>
  </si>
  <si>
    <t>SCI DEAU</t>
  </si>
  <si>
    <t>Code type
d'ouvrage</t>
  </si>
  <si>
    <t>Nom des séries
du graphique</t>
  </si>
  <si>
    <t>Schémas
ouvrages</t>
  </si>
  <si>
    <t>Schéma sélectionné</t>
  </si>
  <si>
    <t>Type
d'ouvrage</t>
  </si>
  <si>
    <t>Matériau constitutif
du stockage</t>
  </si>
  <si>
    <t>Dimensionnement d'un ouvrage de gestion des eaux pluviales à rejet limité</t>
  </si>
  <si>
    <t>DESCRIPTION DU PROJET</t>
  </si>
  <si>
    <t>l/s</t>
  </si>
  <si>
    <t>Distance des PHE
à l'axe de l'orifice</t>
  </si>
  <si>
    <t>radier</t>
  </si>
  <si>
    <t>sans</t>
  </si>
  <si>
    <t>mm</t>
  </si>
  <si>
    <t>Orifice de
régulation</t>
  </si>
  <si>
    <t>mm²</t>
  </si>
  <si>
    <t>Paramètres et
calculs intermédiaires</t>
  </si>
  <si>
    <t>Axe ajutage</t>
  </si>
  <si>
    <t>Débit en l/s/ha actif</t>
  </si>
  <si>
    <t>Débit max l/s/ha actif</t>
  </si>
  <si>
    <t>Coefficient de débit aggravation Sa :</t>
  </si>
  <si>
    <t>Débit théorique l/s/ha actif</t>
  </si>
  <si>
    <t>Débit de fuite mini l/s :</t>
  </si>
  <si>
    <t>Débit de fuite général /ha de Sa :</t>
  </si>
  <si>
    <t>Débit de fuite maxi /ha de Sa :</t>
  </si>
  <si>
    <t>CONCEPTION DE L'OUVRAGE</t>
  </si>
  <si>
    <t>Qf</t>
  </si>
  <si>
    <t>GRADIGNAN</t>
  </si>
  <si>
    <t>LE BOUSCAT</t>
  </si>
  <si>
    <t>LE HAILLAN</t>
  </si>
  <si>
    <t>LE TAILLAN</t>
  </si>
  <si>
    <t>LORMONT</t>
  </si>
  <si>
    <t>MERIGNAC</t>
  </si>
  <si>
    <t>PAREMPUYRE</t>
  </si>
  <si>
    <t>PESSAC</t>
  </si>
  <si>
    <t>St AUBIN</t>
  </si>
  <si>
    <t>St MEDARD</t>
  </si>
  <si>
    <t>St VINCENT</t>
  </si>
  <si>
    <t>TALENCE</t>
  </si>
  <si>
    <t>VILLENAVE</t>
  </si>
  <si>
    <t>St LOUIS</t>
  </si>
  <si>
    <t>Répartition des surfaces d'apport selon le
revêtement et le
rendement au
ruissellement</t>
  </si>
  <si>
    <t>les valeurs du graphique sont sur une feuille masquée, protégée par le même mot de passe.
Menu &gt; Format &gt; Feuille &gt; Afficher &gt; Données</t>
  </si>
  <si>
    <t>Fiche 1b</t>
  </si>
  <si>
    <t>Hauteurs caractéristiques</t>
  </si>
  <si>
    <t>Dimensionnement</t>
  </si>
  <si>
    <t>Bilan des surfaces projetées</t>
  </si>
  <si>
    <t>code 6</t>
  </si>
  <si>
    <r>
      <t xml:space="preserve">Ho </t>
    </r>
    <r>
      <rPr>
        <b/>
        <sz val="10"/>
        <rFont val="Symath"/>
      </rPr>
      <t>P</t>
    </r>
    <r>
      <rPr>
        <b/>
        <sz val="10"/>
        <rFont val="Century Gothic"/>
        <family val="2"/>
      </rPr>
      <t xml:space="preserve"> Hs</t>
    </r>
  </si>
  <si>
    <t>LIGNE MASQUEE Débit de fuite regle génerale</t>
  </si>
  <si>
    <t>Etat hors influence marée ?</t>
  </si>
  <si>
    <t>LIGNE A MASQUER</t>
  </si>
  <si>
    <t>Section orifice</t>
  </si>
  <si>
    <t>mm2</t>
  </si>
  <si>
    <t>Pour diam mini</t>
  </si>
  <si>
    <t>Pour qf sous 44%de Hs</t>
  </si>
  <si>
    <t>Bassin</t>
  </si>
  <si>
    <t>Toitures terrasses (végétalisées ou stockantes)</t>
  </si>
  <si>
    <t>AMBARES</t>
  </si>
  <si>
    <t>BLANQUEFORT</t>
  </si>
  <si>
    <t>BOULIAC</t>
  </si>
  <si>
    <t>BRUGES</t>
  </si>
  <si>
    <t>CARBON BLANC</t>
  </si>
  <si>
    <t>CENON</t>
  </si>
  <si>
    <t>EYSINES</t>
  </si>
  <si>
    <t>FLOIRAC</t>
  </si>
  <si>
    <t>AMBES</t>
  </si>
  <si>
    <t>ARTIGUES</t>
  </si>
  <si>
    <t>BASSENS</t>
  </si>
  <si>
    <t>BEGLES</t>
  </si>
  <si>
    <t>Toiture non régulée, voirie, stationnement, trottoir, piste cyclable…
Bassin à ciel ouvert, tout revêtement imperméable…</t>
  </si>
  <si>
    <t>diorite 40/70</t>
  </si>
  <si>
    <t>Volume de stockage nécessaire et débit de fuite</t>
  </si>
  <si>
    <t>Ambarès-et-Lagrave</t>
  </si>
  <si>
    <t>Ambès</t>
  </si>
  <si>
    <t>Artigues-Près-Bordeaux</t>
  </si>
  <si>
    <t>Bassens</t>
  </si>
  <si>
    <t>Bègles</t>
  </si>
  <si>
    <t>Blanquefort</t>
  </si>
  <si>
    <t>Bordeaux</t>
  </si>
  <si>
    <t>Bouliac</t>
  </si>
  <si>
    <t>Le Bouscat</t>
  </si>
  <si>
    <t>Bruges</t>
  </si>
  <si>
    <t>Carbon-Blanc</t>
  </si>
  <si>
    <t>Cenon</t>
  </si>
  <si>
    <t>Eysines</t>
  </si>
  <si>
    <t>Floirac</t>
  </si>
  <si>
    <t>Gradignan</t>
  </si>
  <si>
    <t>Le Haillan</t>
  </si>
  <si>
    <t>Lormont</t>
  </si>
  <si>
    <t>Martignas-sur-Jalle</t>
  </si>
  <si>
    <t>Mérignac</t>
  </si>
  <si>
    <t>Parempuyre</t>
  </si>
  <si>
    <t>Pessac</t>
  </si>
  <si>
    <t>Saint-Aubin-de-Médoc</t>
  </si>
  <si>
    <t>Saint-Louis-de-Montferrand</t>
  </si>
  <si>
    <t>Saint-Médard-en-Jalles</t>
  </si>
  <si>
    <t>Saint-Vincent-de-Paul</t>
  </si>
  <si>
    <t>Le Taillan-Médoc</t>
  </si>
  <si>
    <t>Talence</t>
  </si>
  <si>
    <t>Villenave-d'Ornon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</si>
</sst>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.0000"/>
    <numFmt numFmtId="166" formatCode="0.000"/>
    <numFmt numFmtId="167" formatCode="#,##0.0"/>
    <numFmt numFmtId="168" formatCode="#,##0.000"/>
  </numFmts>
  <fonts count="28"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Stylograph"/>
    </font>
    <font>
      <b/>
      <sz val="12"/>
      <name val="Stylograph"/>
    </font>
    <font>
      <sz val="10"/>
      <name val="Trebuchet MS"/>
      <family val="2"/>
    </font>
    <font>
      <b/>
      <sz val="12"/>
      <name val="Trebuchet MS"/>
      <family val="2"/>
    </font>
    <font>
      <b/>
      <sz val="10"/>
      <color indexed="57"/>
      <name val="Trebuchet MS"/>
      <family val="2"/>
    </font>
    <font>
      <b/>
      <sz val="10"/>
      <name val="Trebuchet MS"/>
      <family val="2"/>
    </font>
    <font>
      <b/>
      <vertAlign val="subscript"/>
      <sz val="10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sz val="8"/>
      <color indexed="81"/>
      <name val="Tahoma"/>
    </font>
    <font>
      <sz val="8"/>
      <color indexed="81"/>
      <name val="Tahoma"/>
      <family val="2"/>
    </font>
    <font>
      <b/>
      <sz val="14"/>
      <name val="Stylograph"/>
    </font>
    <font>
      <b/>
      <sz val="16"/>
      <color indexed="57"/>
      <name val="Trebuchet MS"/>
      <family val="2"/>
    </font>
    <font>
      <b/>
      <sz val="12"/>
      <color indexed="9"/>
      <name val="Trebuchet MS"/>
      <family val="2"/>
    </font>
    <font>
      <b/>
      <sz val="12"/>
      <color indexed="57"/>
      <name val="Trebuchet MS"/>
      <family val="2"/>
    </font>
    <font>
      <b/>
      <sz val="10"/>
      <name val="Century Gothic"/>
      <family val="2"/>
    </font>
    <font>
      <b/>
      <sz val="11"/>
      <name val="Stylograph"/>
    </font>
    <font>
      <b/>
      <sz val="10"/>
      <name val="Symath"/>
    </font>
    <font>
      <sz val="12"/>
      <name val="Stylograph"/>
    </font>
    <font>
      <sz val="11"/>
      <name val="Trebuchet MS"/>
      <family val="2"/>
    </font>
    <font>
      <sz val="10"/>
      <color indexed="9"/>
      <name val="Trebuchet MS"/>
      <family val="2"/>
    </font>
    <font>
      <b/>
      <sz val="16"/>
      <color rgb="FF7BCBFD"/>
      <name val="Trebuchet MS"/>
      <family val="2"/>
    </font>
    <font>
      <b/>
      <sz val="12"/>
      <color rgb="FF7BCBFD"/>
      <name val="Trebuchet MS"/>
      <family val="2"/>
    </font>
    <font>
      <b/>
      <sz val="10"/>
      <color rgb="FF7BCBFD"/>
      <name val="Trebuchet MS"/>
      <family val="2"/>
    </font>
  </fonts>
  <fills count="12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7BCBF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A3"/>
        <bgColor indexed="64"/>
      </patternFill>
    </fill>
    <fill>
      <patternFill patternType="solid">
        <fgColor rgb="FFFFCDE8"/>
        <bgColor indexed="64"/>
      </patternFill>
    </fill>
    <fill>
      <patternFill patternType="solid">
        <fgColor rgb="FFD0EDAD"/>
        <bgColor indexed="64"/>
      </patternFill>
    </fill>
  </fills>
  <borders count="31">
    <border>
      <left/>
      <right/>
      <top/>
      <bottom/>
      <diagonal/>
    </border>
    <border>
      <left style="medium">
        <color indexed="51"/>
      </left>
      <right/>
      <top/>
      <bottom/>
      <diagonal/>
    </border>
    <border>
      <left/>
      <right/>
      <top/>
      <bottom style="medium">
        <color indexed="51"/>
      </bottom>
      <diagonal/>
    </border>
    <border>
      <left/>
      <right style="medium">
        <color indexed="51"/>
      </right>
      <top/>
      <bottom/>
      <diagonal/>
    </border>
    <border>
      <left/>
      <right style="thin">
        <color indexed="51"/>
      </right>
      <top style="medium">
        <color indexed="51"/>
      </top>
      <bottom/>
      <diagonal/>
    </border>
    <border>
      <left/>
      <right style="medium">
        <color indexed="51"/>
      </right>
      <top style="medium">
        <color indexed="51"/>
      </top>
      <bottom/>
      <diagonal/>
    </border>
    <border>
      <left/>
      <right style="medium">
        <color indexed="51"/>
      </right>
      <top/>
      <bottom style="medium">
        <color indexed="51"/>
      </bottom>
      <diagonal/>
    </border>
    <border>
      <left/>
      <right style="thin">
        <color indexed="51"/>
      </right>
      <top style="thin">
        <color indexed="22"/>
      </top>
      <bottom/>
      <diagonal/>
    </border>
    <border>
      <left/>
      <right style="thin">
        <color indexed="51"/>
      </right>
      <top/>
      <bottom style="medium">
        <color indexed="51"/>
      </bottom>
      <diagonal/>
    </border>
    <border>
      <left/>
      <right/>
      <top style="medium">
        <color indexed="51"/>
      </top>
      <bottom/>
      <diagonal/>
    </border>
    <border>
      <left style="medium">
        <color indexed="51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51"/>
      </left>
      <right/>
      <top style="medium">
        <color indexed="51"/>
      </top>
      <bottom/>
      <diagonal/>
    </border>
    <border>
      <left style="thin">
        <color indexed="51"/>
      </left>
      <right/>
      <top style="medium">
        <color indexed="51"/>
      </top>
      <bottom style="medium">
        <color indexed="51"/>
      </bottom>
      <diagonal/>
    </border>
    <border>
      <left/>
      <right/>
      <top style="medium">
        <color indexed="51"/>
      </top>
      <bottom style="medium">
        <color indexed="51"/>
      </bottom>
      <diagonal/>
    </border>
    <border>
      <left/>
      <right style="medium">
        <color indexed="51"/>
      </right>
      <top style="thin">
        <color indexed="22"/>
      </top>
      <bottom/>
      <diagonal/>
    </border>
    <border>
      <left/>
      <right style="medium">
        <color indexed="51"/>
      </right>
      <top/>
      <bottom style="thin">
        <color indexed="22"/>
      </bottom>
      <diagonal/>
    </border>
    <border>
      <left style="medium">
        <color indexed="51"/>
      </left>
      <right/>
      <top style="medium">
        <color indexed="51"/>
      </top>
      <bottom/>
      <diagonal/>
    </border>
    <border>
      <left style="medium">
        <color indexed="51"/>
      </left>
      <right/>
      <top/>
      <bottom style="medium">
        <color indexed="51"/>
      </bottom>
      <diagonal/>
    </border>
    <border>
      <left style="thin">
        <color indexed="51"/>
      </left>
      <right/>
      <top/>
      <bottom style="medium">
        <color indexed="51"/>
      </bottom>
      <diagonal/>
    </border>
    <border>
      <left style="thin">
        <color indexed="51"/>
      </left>
      <right/>
      <top/>
      <bottom/>
      <diagonal/>
    </border>
    <border>
      <left/>
      <right style="thin">
        <color indexed="51"/>
      </right>
      <top/>
      <bottom/>
      <diagonal/>
    </border>
    <border>
      <left style="medium">
        <color indexed="51"/>
      </left>
      <right/>
      <top style="medium">
        <color indexed="51"/>
      </top>
      <bottom style="medium">
        <color indexed="51"/>
      </bottom>
      <diagonal/>
    </border>
    <border>
      <left/>
      <right style="medium">
        <color indexed="51"/>
      </right>
      <top style="medium">
        <color indexed="51"/>
      </top>
      <bottom style="medium">
        <color indexed="51"/>
      </bottom>
      <diagonal/>
    </border>
    <border>
      <left style="thin">
        <color indexed="51"/>
      </left>
      <right style="medium">
        <color indexed="51"/>
      </right>
      <top style="medium">
        <color indexed="51"/>
      </top>
      <bottom/>
      <diagonal/>
    </border>
    <border>
      <left style="thin">
        <color indexed="51"/>
      </left>
      <right style="medium">
        <color indexed="51"/>
      </right>
      <top/>
      <bottom style="medium">
        <color indexed="51"/>
      </bottom>
      <diagonal/>
    </border>
    <border>
      <left style="thin">
        <color indexed="51"/>
      </left>
      <right style="thin">
        <color indexed="51"/>
      </right>
      <top style="medium">
        <color indexed="51"/>
      </top>
      <bottom/>
      <diagonal/>
    </border>
    <border>
      <left style="thin">
        <color indexed="51"/>
      </left>
      <right style="thin">
        <color indexed="51"/>
      </right>
      <top/>
      <bottom style="medium">
        <color indexed="51"/>
      </bottom>
      <diagonal/>
    </border>
    <border>
      <left/>
      <right style="thin">
        <color indexed="51"/>
      </right>
      <top/>
      <bottom style="thin">
        <color indexed="22"/>
      </bottom>
      <diagonal/>
    </border>
    <border>
      <left/>
      <right style="thin">
        <color indexed="51"/>
      </right>
      <top style="medium">
        <color indexed="51"/>
      </top>
      <bottom style="medium">
        <color indexed="51"/>
      </bottom>
      <diagonal/>
    </border>
  </borders>
  <cellStyleXfs count="1">
    <xf numFmtId="0" fontId="0" fillId="0" borderId="0"/>
  </cellStyleXfs>
  <cellXfs count="409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2" fontId="0" fillId="0" borderId="0" xfId="0" applyNumberFormat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2" fontId="0" fillId="5" borderId="0" xfId="0" applyNumberFormat="1" applyFill="1" applyAlignment="1">
      <alignment vertical="center"/>
    </xf>
    <xf numFmtId="0" fontId="7" fillId="4" borderId="9" xfId="0" applyFont="1" applyFill="1" applyBorder="1" applyAlignment="1" applyProtection="1">
      <alignment horizontal="right" vertical="center"/>
    </xf>
    <xf numFmtId="0" fontId="9" fillId="0" borderId="9" xfId="0" applyFont="1" applyFill="1" applyBorder="1" applyAlignment="1" applyProtection="1">
      <alignment horizontal="left" vertical="top" wrapText="1"/>
    </xf>
    <xf numFmtId="0" fontId="9" fillId="0" borderId="9" xfId="0" applyFont="1" applyFill="1" applyBorder="1" applyAlignment="1" applyProtection="1">
      <alignment horizontal="left" vertical="center"/>
    </xf>
    <xf numFmtId="2" fontId="5" fillId="0" borderId="9" xfId="0" applyNumberFormat="1" applyFont="1" applyFill="1" applyBorder="1" applyAlignment="1" applyProtection="1">
      <alignment horizontal="center" vertical="center"/>
    </xf>
    <xf numFmtId="0" fontId="12" fillId="0" borderId="9" xfId="0" applyFont="1" applyFill="1" applyBorder="1" applyAlignment="1" applyProtection="1">
      <alignment horizontal="left" vertical="center"/>
    </xf>
    <xf numFmtId="2" fontId="12" fillId="0" borderId="9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left" vertical="top" wrapText="1"/>
    </xf>
    <xf numFmtId="0" fontId="9" fillId="0" borderId="0" xfId="0" applyFont="1" applyFill="1" applyBorder="1" applyAlignment="1" applyProtection="1">
      <alignment horizontal="left" vertical="center"/>
    </xf>
    <xf numFmtId="2" fontId="5" fillId="0" borderId="0" xfId="0" applyNumberFormat="1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left" vertical="center"/>
    </xf>
    <xf numFmtId="2" fontId="12" fillId="0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left" vertical="center" wrapText="1"/>
    </xf>
    <xf numFmtId="3" fontId="5" fillId="3" borderId="0" xfId="0" applyNumberFormat="1" applyFont="1" applyFill="1" applyBorder="1" applyAlignment="1" applyProtection="1">
      <alignment horizontal="left" vertical="center" wrapText="1"/>
    </xf>
    <xf numFmtId="0" fontId="9" fillId="3" borderId="0" xfId="0" applyFont="1" applyFill="1" applyBorder="1" applyAlignment="1" applyProtection="1">
      <alignment horizontal="left" vertical="center"/>
    </xf>
    <xf numFmtId="2" fontId="5" fillId="3" borderId="0" xfId="0" applyNumberFormat="1" applyFont="1" applyFill="1" applyBorder="1" applyAlignment="1" applyProtection="1">
      <alignment horizontal="center" vertical="center"/>
    </xf>
    <xf numFmtId="0" fontId="12" fillId="3" borderId="0" xfId="0" applyFont="1" applyFill="1" applyBorder="1" applyAlignment="1" applyProtection="1">
      <alignment horizontal="left" vertical="center"/>
    </xf>
    <xf numFmtId="2" fontId="12" fillId="3" borderId="0" xfId="0" applyNumberFormat="1" applyFont="1" applyFill="1" applyBorder="1" applyAlignment="1" applyProtection="1">
      <alignment horizontal="center" vertical="center"/>
    </xf>
    <xf numFmtId="1" fontId="12" fillId="3" borderId="0" xfId="0" applyNumberFormat="1" applyFont="1" applyFill="1" applyBorder="1" applyAlignment="1" applyProtection="1">
      <alignment horizontal="left" vertical="center"/>
    </xf>
    <xf numFmtId="165" fontId="23" fillId="3" borderId="0" xfId="0" applyNumberFormat="1" applyFont="1" applyFill="1" applyBorder="1" applyAlignment="1" applyProtection="1">
      <alignment horizontal="left" vertical="center"/>
    </xf>
    <xf numFmtId="2" fontId="22" fillId="3" borderId="0" xfId="0" applyNumberFormat="1" applyFont="1" applyFill="1" applyBorder="1" applyAlignment="1" applyProtection="1">
      <alignment horizontal="left" vertical="center"/>
    </xf>
    <xf numFmtId="1" fontId="5" fillId="3" borderId="0" xfId="0" applyNumberFormat="1" applyFont="1" applyFill="1" applyBorder="1" applyAlignment="1" applyProtection="1">
      <alignment horizontal="center" vertical="center"/>
    </xf>
    <xf numFmtId="0" fontId="7" fillId="10" borderId="9" xfId="0" applyFont="1" applyFill="1" applyBorder="1" applyAlignment="1" applyProtection="1">
      <alignment horizontal="right" vertical="center"/>
    </xf>
    <xf numFmtId="0" fontId="0" fillId="0" borderId="0" xfId="0" applyProtection="1"/>
    <xf numFmtId="0" fontId="6" fillId="6" borderId="0" xfId="0" applyFont="1" applyFill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17" fillId="3" borderId="1" xfId="0" applyFont="1" applyFill="1" applyBorder="1" applyAlignment="1" applyProtection="1">
      <alignment vertical="center"/>
    </xf>
    <xf numFmtId="0" fontId="17" fillId="3" borderId="0" xfId="0" applyFont="1" applyFill="1" applyBorder="1" applyAlignment="1" applyProtection="1">
      <alignment vertical="center"/>
    </xf>
    <xf numFmtId="0" fontId="17" fillId="3" borderId="3" xfId="0" applyFont="1" applyFill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8" fillId="0" borderId="1" xfId="0" applyFont="1" applyBorder="1" applyAlignment="1" applyProtection="1"/>
    <xf numFmtId="0" fontId="8" fillId="0" borderId="0" xfId="0" applyFont="1" applyBorder="1" applyAlignment="1" applyProtection="1"/>
    <xf numFmtId="0" fontId="8" fillId="0" borderId="3" xfId="0" applyFont="1" applyBorder="1" applyAlignment="1" applyProtection="1"/>
    <xf numFmtId="166" fontId="6" fillId="6" borderId="0" xfId="0" applyNumberFormat="1" applyFont="1" applyFill="1" applyAlignment="1" applyProtection="1">
      <alignment vertical="center"/>
    </xf>
    <xf numFmtId="0" fontId="9" fillId="2" borderId="1" xfId="0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/>
    </xf>
    <xf numFmtId="0" fontId="9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164" fontId="9" fillId="4" borderId="7" xfId="0" applyNumberFormat="1" applyFont="1" applyFill="1" applyBorder="1" applyAlignment="1" applyProtection="1">
      <alignment vertical="center"/>
    </xf>
    <xf numFmtId="164" fontId="9" fillId="4" borderId="8" xfId="0" applyNumberFormat="1" applyFont="1" applyFill="1" applyBorder="1" applyAlignment="1" applyProtection="1">
      <alignment vertical="center"/>
    </xf>
    <xf numFmtId="9" fontId="12" fillId="4" borderId="4" xfId="0" applyNumberFormat="1" applyFont="1" applyFill="1" applyBorder="1" applyAlignment="1" applyProtection="1">
      <alignment vertical="center"/>
    </xf>
    <xf numFmtId="0" fontId="12" fillId="4" borderId="4" xfId="0" applyFont="1" applyFill="1" applyBorder="1" applyAlignment="1" applyProtection="1">
      <alignment vertical="center"/>
    </xf>
    <xf numFmtId="0" fontId="12" fillId="4" borderId="5" xfId="0" applyFont="1" applyFill="1" applyBorder="1" applyAlignment="1" applyProtection="1">
      <alignment vertical="center"/>
    </xf>
    <xf numFmtId="0" fontId="12" fillId="4" borderId="6" xfId="0" applyFont="1" applyFill="1" applyBorder="1" applyAlignment="1" applyProtection="1">
      <alignment vertical="center"/>
    </xf>
    <xf numFmtId="0" fontId="9" fillId="3" borderId="10" xfId="0" applyFont="1" applyFill="1" applyBorder="1" applyAlignment="1" applyProtection="1">
      <alignment horizontal="left" vertical="center"/>
    </xf>
    <xf numFmtId="0" fontId="9" fillId="3" borderId="11" xfId="0" applyFont="1" applyFill="1" applyBorder="1" applyAlignment="1" applyProtection="1">
      <alignment horizontal="left" vertical="center"/>
    </xf>
    <xf numFmtId="0" fontId="0" fillId="3" borderId="2" xfId="0" applyFill="1" applyBorder="1" applyProtection="1"/>
    <xf numFmtId="0" fontId="0" fillId="3" borderId="3" xfId="0" applyFill="1" applyBorder="1" applyProtection="1"/>
    <xf numFmtId="168" fontId="6" fillId="6" borderId="0" xfId="0" applyNumberFormat="1" applyFont="1" applyFill="1" applyBorder="1" applyAlignment="1" applyProtection="1">
      <alignment vertical="center"/>
    </xf>
    <xf numFmtId="0" fontId="12" fillId="4" borderId="2" xfId="0" applyFont="1" applyFill="1" applyBorder="1" applyAlignment="1" applyProtection="1">
      <alignment horizontal="right" vertical="center"/>
    </xf>
    <xf numFmtId="0" fontId="9" fillId="0" borderId="0" xfId="0" applyFont="1" applyAlignment="1" applyProtection="1">
      <alignment vertical="center"/>
    </xf>
    <xf numFmtId="0" fontId="9" fillId="6" borderId="0" xfId="0" applyFont="1" applyFill="1" applyAlignment="1" applyProtection="1">
      <alignment vertical="center"/>
    </xf>
    <xf numFmtId="166" fontId="9" fillId="6" borderId="0" xfId="0" applyNumberFormat="1" applyFont="1" applyFill="1" applyAlignment="1" applyProtection="1">
      <alignment vertical="center"/>
    </xf>
    <xf numFmtId="0" fontId="6" fillId="6" borderId="0" xfId="0" applyFont="1" applyFill="1" applyBorder="1" applyAlignment="1" applyProtection="1">
      <alignment vertical="center"/>
    </xf>
    <xf numFmtId="0" fontId="9" fillId="0" borderId="1" xfId="0" applyFont="1" applyBorder="1" applyAlignment="1" applyProtection="1">
      <alignment horizontal="left" vertical="top" wrapText="1"/>
    </xf>
    <xf numFmtId="0" fontId="9" fillId="0" borderId="0" xfId="0" applyFont="1" applyBorder="1" applyAlignment="1" applyProtection="1">
      <alignment horizontal="left" vertical="top" wrapText="1"/>
    </xf>
    <xf numFmtId="0" fontId="6" fillId="3" borderId="0" xfId="0" applyFont="1" applyFill="1" applyBorder="1" applyAlignment="1" applyProtection="1">
      <alignment vertical="center"/>
    </xf>
    <xf numFmtId="0" fontId="0" fillId="0" borderId="0" xfId="0" applyBorder="1" applyProtection="1"/>
    <xf numFmtId="166" fontId="6" fillId="6" borderId="0" xfId="0" applyNumberFormat="1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1" fontId="6" fillId="6" borderId="0" xfId="0" applyNumberFormat="1" applyFont="1" applyFill="1" applyBorder="1" applyAlignment="1" applyProtection="1">
      <alignment vertical="center"/>
    </xf>
    <xf numFmtId="166" fontId="12" fillId="6" borderId="0" xfId="0" applyNumberFormat="1" applyFont="1" applyFill="1" applyBorder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0" fontId="12" fillId="0" borderId="0" xfId="0" applyFont="1" applyFill="1" applyAlignment="1" applyProtection="1">
      <alignment horizontal="left" vertical="center"/>
    </xf>
    <xf numFmtId="1" fontId="12" fillId="6" borderId="0" xfId="0" applyNumberFormat="1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17" fillId="7" borderId="1" xfId="0" applyFont="1" applyFill="1" applyBorder="1" applyAlignment="1" applyProtection="1">
      <alignment vertical="center"/>
    </xf>
    <xf numFmtId="0" fontId="17" fillId="7" borderId="0" xfId="0" applyFont="1" applyFill="1" applyBorder="1" applyAlignment="1" applyProtection="1">
      <alignment vertical="center"/>
    </xf>
    <xf numFmtId="0" fontId="17" fillId="7" borderId="3" xfId="0" applyFont="1" applyFill="1" applyBorder="1" applyAlignment="1" applyProtection="1">
      <alignment vertical="center"/>
    </xf>
    <xf numFmtId="0" fontId="9" fillId="9" borderId="1" xfId="0" applyFont="1" applyFill="1" applyBorder="1" applyAlignment="1" applyProtection="1">
      <alignment horizontal="center" vertical="center" wrapText="1"/>
    </xf>
    <xf numFmtId="0" fontId="9" fillId="9" borderId="2" xfId="0" applyFont="1" applyFill="1" applyBorder="1" applyAlignment="1" applyProtection="1">
      <alignment horizontal="center" vertical="center"/>
    </xf>
    <xf numFmtId="164" fontId="9" fillId="10" borderId="7" xfId="0" applyNumberFormat="1" applyFont="1" applyFill="1" applyBorder="1" applyAlignment="1" applyProtection="1">
      <alignment vertical="center"/>
    </xf>
    <xf numFmtId="164" fontId="9" fillId="10" borderId="8" xfId="0" applyNumberFormat="1" applyFont="1" applyFill="1" applyBorder="1" applyAlignment="1" applyProtection="1">
      <alignment vertical="center"/>
    </xf>
    <xf numFmtId="9" fontId="12" fillId="10" borderId="4" xfId="0" applyNumberFormat="1" applyFont="1" applyFill="1" applyBorder="1" applyAlignment="1" applyProtection="1">
      <alignment vertical="center"/>
    </xf>
    <xf numFmtId="0" fontId="12" fillId="10" borderId="4" xfId="0" applyFont="1" applyFill="1" applyBorder="1" applyAlignment="1" applyProtection="1">
      <alignment vertical="center"/>
    </xf>
    <xf numFmtId="0" fontId="12" fillId="10" borderId="5" xfId="0" applyFont="1" applyFill="1" applyBorder="1" applyAlignment="1" applyProtection="1">
      <alignment vertical="center"/>
    </xf>
    <xf numFmtId="0" fontId="12" fillId="10" borderId="6" xfId="0" applyFont="1" applyFill="1" applyBorder="1" applyAlignment="1" applyProtection="1">
      <alignment vertical="center"/>
    </xf>
    <xf numFmtId="0" fontId="12" fillId="10" borderId="2" xfId="0" applyFont="1" applyFill="1" applyBorder="1" applyAlignment="1" applyProtection="1">
      <alignment horizontal="righ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9" fillId="9" borderId="2" xfId="0" applyFont="1" applyFill="1" applyBorder="1" applyAlignment="1" applyProtection="1">
      <alignment horizontal="center" vertical="center" wrapText="1"/>
    </xf>
    <xf numFmtId="0" fontId="9" fillId="9" borderId="6" xfId="0" applyFont="1" applyFill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left" vertical="center"/>
    </xf>
    <xf numFmtId="0" fontId="6" fillId="0" borderId="11" xfId="0" applyFont="1" applyBorder="1" applyAlignment="1" applyProtection="1">
      <alignment horizontal="left" vertical="center"/>
    </xf>
    <xf numFmtId="0" fontId="6" fillId="0" borderId="1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left" vertical="center" wrapText="1"/>
    </xf>
    <xf numFmtId="9" fontId="12" fillId="10" borderId="13" xfId="0" applyNumberFormat="1" applyFont="1" applyFill="1" applyBorder="1" applyAlignment="1" applyProtection="1">
      <alignment horizontal="center" vertical="center"/>
    </xf>
    <xf numFmtId="9" fontId="12" fillId="10" borderId="9" xfId="0" applyNumberFormat="1" applyFont="1" applyFill="1" applyBorder="1" applyAlignment="1" applyProtection="1">
      <alignment horizontal="center" vertical="center"/>
    </xf>
    <xf numFmtId="0" fontId="12" fillId="10" borderId="5" xfId="0" applyFont="1" applyFill="1" applyBorder="1" applyAlignment="1" applyProtection="1">
      <alignment horizontal="left" vertical="center"/>
    </xf>
    <xf numFmtId="0" fontId="12" fillId="10" borderId="6" xfId="0" applyFont="1" applyFill="1" applyBorder="1" applyAlignment="1" applyProtection="1">
      <alignment horizontal="left" vertical="center"/>
    </xf>
    <xf numFmtId="0" fontId="6" fillId="10" borderId="9" xfId="0" applyFont="1" applyFill="1" applyBorder="1" applyAlignment="1" applyProtection="1">
      <alignment horizontal="center" vertical="center"/>
    </xf>
    <xf numFmtId="0" fontId="6" fillId="10" borderId="2" xfId="0" applyFont="1" applyFill="1" applyBorder="1" applyAlignment="1" applyProtection="1">
      <alignment horizontal="center" vertical="center"/>
    </xf>
    <xf numFmtId="166" fontId="12" fillId="10" borderId="9" xfId="0" applyNumberFormat="1" applyFont="1" applyFill="1" applyBorder="1" applyAlignment="1" applyProtection="1">
      <alignment horizontal="center" vertical="center"/>
    </xf>
    <xf numFmtId="166" fontId="12" fillId="10" borderId="2" xfId="0" applyNumberFormat="1" applyFont="1" applyFill="1" applyBorder="1" applyAlignment="1" applyProtection="1">
      <alignment horizontal="center" vertical="center"/>
    </xf>
    <xf numFmtId="3" fontId="5" fillId="11" borderId="14" xfId="0" applyNumberFormat="1" applyFont="1" applyFill="1" applyBorder="1" applyAlignment="1" applyProtection="1">
      <alignment horizontal="center" vertical="center"/>
      <protection locked="0"/>
    </xf>
    <xf numFmtId="3" fontId="5" fillId="11" borderId="15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left" vertical="center"/>
    </xf>
    <xf numFmtId="1" fontId="12" fillId="10" borderId="9" xfId="0" applyNumberFormat="1" applyFont="1" applyFill="1" applyBorder="1" applyAlignment="1" applyProtection="1">
      <alignment horizontal="center" vertical="center"/>
    </xf>
    <xf numFmtId="1" fontId="12" fillId="10" borderId="2" xfId="0" applyNumberFormat="1" applyFont="1" applyFill="1" applyBorder="1" applyAlignment="1" applyProtection="1">
      <alignment horizontal="center" vertical="center"/>
    </xf>
    <xf numFmtId="1" fontId="12" fillId="10" borderId="13" xfId="0" applyNumberFormat="1" applyFont="1" applyFill="1" applyBorder="1" applyAlignment="1" applyProtection="1">
      <alignment horizontal="center" vertical="center"/>
    </xf>
    <xf numFmtId="1" fontId="12" fillId="10" borderId="20" xfId="0" applyNumberFormat="1" applyFont="1" applyFill="1" applyBorder="1" applyAlignment="1" applyProtection="1">
      <alignment horizontal="center" vertical="center"/>
    </xf>
    <xf numFmtId="0" fontId="12" fillId="10" borderId="9" xfId="0" applyFont="1" applyFill="1" applyBorder="1" applyAlignment="1" applyProtection="1">
      <alignment horizontal="left" vertical="center"/>
    </xf>
    <xf numFmtId="0" fontId="12" fillId="10" borderId="2" xfId="0" applyFont="1" applyFill="1" applyBorder="1" applyAlignment="1" applyProtection="1">
      <alignment horizontal="left" vertical="center"/>
    </xf>
    <xf numFmtId="2" fontId="19" fillId="10" borderId="13" xfId="0" applyNumberFormat="1" applyFont="1" applyFill="1" applyBorder="1" applyAlignment="1" applyProtection="1">
      <alignment horizontal="center" vertical="center"/>
    </xf>
    <xf numFmtId="2" fontId="19" fillId="10" borderId="9" xfId="0" applyNumberFormat="1" applyFont="1" applyFill="1" applyBorder="1" applyAlignment="1" applyProtection="1">
      <alignment horizontal="center" vertical="center"/>
    </xf>
    <xf numFmtId="2" fontId="19" fillId="10" borderId="20" xfId="0" applyNumberFormat="1" applyFont="1" applyFill="1" applyBorder="1" applyAlignment="1" applyProtection="1">
      <alignment horizontal="center" vertical="center"/>
    </xf>
    <xf numFmtId="2" fontId="19" fillId="10" borderId="2" xfId="0" applyNumberFormat="1" applyFont="1" applyFill="1" applyBorder="1" applyAlignment="1" applyProtection="1">
      <alignment horizontal="center" vertical="center"/>
    </xf>
    <xf numFmtId="9" fontId="15" fillId="11" borderId="21" xfId="0" applyNumberFormat="1" applyFont="1" applyFill="1" applyBorder="1" applyAlignment="1" applyProtection="1">
      <alignment horizontal="center" vertical="center"/>
      <protection locked="0"/>
    </xf>
    <xf numFmtId="9" fontId="15" fillId="11" borderId="0" xfId="0" applyNumberFormat="1" applyFont="1" applyFill="1" applyBorder="1" applyAlignment="1" applyProtection="1">
      <alignment horizontal="center" vertical="center"/>
      <protection locked="0"/>
    </xf>
    <xf numFmtId="9" fontId="15" fillId="11" borderId="22" xfId="0" applyNumberFormat="1" applyFont="1" applyFill="1" applyBorder="1" applyAlignment="1" applyProtection="1">
      <alignment horizontal="center" vertical="center"/>
      <protection locked="0"/>
    </xf>
    <xf numFmtId="9" fontId="15" fillId="11" borderId="20" xfId="0" applyNumberFormat="1" applyFont="1" applyFill="1" applyBorder="1" applyAlignment="1" applyProtection="1">
      <alignment horizontal="center" vertical="center"/>
      <protection locked="0"/>
    </xf>
    <xf numFmtId="9" fontId="15" fillId="11" borderId="2" xfId="0" applyNumberFormat="1" applyFont="1" applyFill="1" applyBorder="1" applyAlignment="1" applyProtection="1">
      <alignment horizontal="center" vertical="center"/>
      <protection locked="0"/>
    </xf>
    <xf numFmtId="9" fontId="15" fillId="11" borderId="8" xfId="0" applyNumberFormat="1" applyFont="1" applyFill="1" applyBorder="1" applyAlignment="1" applyProtection="1">
      <alignment horizontal="center" vertical="center"/>
      <protection locked="0"/>
    </xf>
    <xf numFmtId="0" fontId="9" fillId="9" borderId="20" xfId="0" applyFont="1" applyFill="1" applyBorder="1" applyAlignment="1" applyProtection="1">
      <alignment horizontal="center" vertical="center" wrapText="1"/>
    </xf>
    <xf numFmtId="0" fontId="9" fillId="0" borderId="18" xfId="0" applyFont="1" applyBorder="1" applyAlignment="1" applyProtection="1">
      <alignment horizontal="left" vertical="top" wrapText="1"/>
    </xf>
    <xf numFmtId="0" fontId="9" fillId="0" borderId="9" xfId="0" applyFont="1" applyBorder="1" applyAlignment="1" applyProtection="1">
      <alignment horizontal="left" vertical="top" wrapText="1"/>
    </xf>
    <xf numFmtId="0" fontId="9" fillId="0" borderId="1" xfId="0" applyFont="1" applyBorder="1" applyAlignment="1" applyProtection="1">
      <alignment horizontal="left" vertical="top" wrapText="1"/>
    </xf>
    <xf numFmtId="0" fontId="9" fillId="0" borderId="0" xfId="0" applyFont="1" applyBorder="1" applyAlignment="1" applyProtection="1">
      <alignment horizontal="left" vertical="top" wrapText="1"/>
    </xf>
    <xf numFmtId="0" fontId="12" fillId="10" borderId="3" xfId="0" applyFont="1" applyFill="1" applyBorder="1" applyAlignment="1" applyProtection="1">
      <alignment horizontal="left" vertical="center"/>
    </xf>
    <xf numFmtId="0" fontId="9" fillId="9" borderId="13" xfId="0" applyFont="1" applyFill="1" applyBorder="1" applyAlignment="1" applyProtection="1">
      <alignment horizontal="center" vertical="center" wrapText="1"/>
    </xf>
    <xf numFmtId="0" fontId="9" fillId="9" borderId="9" xfId="0" applyFont="1" applyFill="1" applyBorder="1" applyAlignment="1" applyProtection="1">
      <alignment horizontal="center" vertical="center" wrapText="1"/>
    </xf>
    <xf numFmtId="0" fontId="9" fillId="9" borderId="21" xfId="0" applyFont="1" applyFill="1" applyBorder="1" applyAlignment="1" applyProtection="1">
      <alignment horizontal="center" vertical="center" wrapText="1"/>
    </xf>
    <xf numFmtId="0" fontId="9" fillId="9" borderId="0" xfId="0" applyFont="1" applyFill="1" applyBorder="1" applyAlignment="1" applyProtection="1">
      <alignment horizontal="center" vertical="center" wrapText="1"/>
    </xf>
    <xf numFmtId="0" fontId="9" fillId="6" borderId="0" xfId="0" applyFont="1" applyFill="1" applyAlignment="1" applyProtection="1">
      <alignment horizontal="center" vertical="center" wrapText="1"/>
    </xf>
    <xf numFmtId="0" fontId="9" fillId="6" borderId="0" xfId="0" applyFont="1" applyFill="1" applyAlignment="1" applyProtection="1">
      <alignment horizontal="center" vertical="center"/>
    </xf>
    <xf numFmtId="0" fontId="12" fillId="10" borderId="16" xfId="0" applyFont="1" applyFill="1" applyBorder="1" applyAlignment="1" applyProtection="1">
      <alignment horizontal="left" vertical="center"/>
    </xf>
    <xf numFmtId="0" fontId="9" fillId="9" borderId="5" xfId="0" applyFont="1" applyFill="1" applyBorder="1" applyAlignment="1" applyProtection="1">
      <alignment horizontal="center" vertical="center" wrapText="1"/>
    </xf>
    <xf numFmtId="0" fontId="9" fillId="9" borderId="3" xfId="0" applyFont="1" applyFill="1" applyBorder="1" applyAlignment="1" applyProtection="1">
      <alignment horizontal="center" vertical="center" wrapText="1"/>
    </xf>
    <xf numFmtId="0" fontId="12" fillId="10" borderId="17" xfId="0" applyFont="1" applyFill="1" applyBorder="1" applyAlignment="1" applyProtection="1">
      <alignment horizontal="left" vertical="center"/>
    </xf>
    <xf numFmtId="0" fontId="25" fillId="8" borderId="18" xfId="0" applyFont="1" applyFill="1" applyBorder="1" applyAlignment="1" applyProtection="1">
      <alignment horizontal="left" vertical="center"/>
    </xf>
    <xf numFmtId="0" fontId="25" fillId="8" borderId="9" xfId="0" applyFont="1" applyFill="1" applyBorder="1" applyAlignment="1" applyProtection="1">
      <alignment horizontal="left" vertical="center"/>
    </xf>
    <xf numFmtId="0" fontId="25" fillId="8" borderId="5" xfId="0" applyFont="1" applyFill="1" applyBorder="1" applyAlignment="1" applyProtection="1">
      <alignment horizontal="left" vertical="center"/>
    </xf>
    <xf numFmtId="0" fontId="25" fillId="8" borderId="1" xfId="0" applyFont="1" applyFill="1" applyBorder="1" applyAlignment="1" applyProtection="1">
      <alignment horizontal="left" vertical="center"/>
    </xf>
    <xf numFmtId="0" fontId="25" fillId="8" borderId="0" xfId="0" applyFont="1" applyFill="1" applyBorder="1" applyAlignment="1" applyProtection="1">
      <alignment horizontal="left" vertical="center"/>
    </xf>
    <xf numFmtId="0" fontId="25" fillId="8" borderId="3" xfId="0" applyFont="1" applyFill="1" applyBorder="1" applyAlignment="1" applyProtection="1">
      <alignment horizontal="left" vertical="center"/>
    </xf>
    <xf numFmtId="0" fontId="27" fillId="0" borderId="0" xfId="0" applyFont="1" applyFill="1" applyBorder="1" applyAlignment="1" applyProtection="1">
      <alignment horizontal="left" vertical="center"/>
    </xf>
    <xf numFmtId="0" fontId="27" fillId="0" borderId="3" xfId="0" applyFont="1" applyFill="1" applyBorder="1" applyAlignment="1" applyProtection="1">
      <alignment horizontal="left" vertical="center"/>
    </xf>
    <xf numFmtId="0" fontId="9" fillId="9" borderId="18" xfId="0" applyFont="1" applyFill="1" applyBorder="1" applyAlignment="1" applyProtection="1">
      <alignment horizontal="left" vertical="center" wrapText="1"/>
    </xf>
    <xf numFmtId="0" fontId="9" fillId="9" borderId="9" xfId="0" applyFont="1" applyFill="1" applyBorder="1" applyAlignment="1" applyProtection="1">
      <alignment horizontal="left" vertical="center" wrapText="1"/>
    </xf>
    <xf numFmtId="0" fontId="9" fillId="9" borderId="19" xfId="0" applyFont="1" applyFill="1" applyBorder="1" applyAlignment="1" applyProtection="1">
      <alignment horizontal="left" vertical="center" wrapText="1"/>
    </xf>
    <xf numFmtId="0" fontId="9" fillId="9" borderId="2" xfId="0" applyFont="1" applyFill="1" applyBorder="1" applyAlignment="1" applyProtection="1">
      <alignment horizontal="left" vertical="center" wrapText="1"/>
    </xf>
    <xf numFmtId="0" fontId="6" fillId="0" borderId="9" xfId="0" applyFont="1" applyBorder="1" applyAlignment="1" applyProtection="1">
      <alignment horizontal="left" vertical="center" wrapText="1"/>
    </xf>
    <xf numFmtId="0" fontId="6" fillId="0" borderId="11" xfId="0" applyFont="1" applyBorder="1" applyAlignment="1" applyProtection="1">
      <alignment horizontal="left" vertical="center" wrapText="1"/>
    </xf>
    <xf numFmtId="164" fontId="9" fillId="10" borderId="9" xfId="0" applyNumberFormat="1" applyFont="1" applyFill="1" applyBorder="1" applyAlignment="1" applyProtection="1">
      <alignment horizontal="center" vertical="center"/>
    </xf>
    <xf numFmtId="164" fontId="9" fillId="10" borderId="11" xfId="0" applyNumberFormat="1" applyFont="1" applyFill="1" applyBorder="1" applyAlignment="1" applyProtection="1">
      <alignment horizontal="center" vertical="center"/>
    </xf>
    <xf numFmtId="0" fontId="26" fillId="0" borderId="1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center"/>
    </xf>
    <xf numFmtId="0" fontId="8" fillId="0" borderId="3" xfId="0" applyFont="1" applyFill="1" applyBorder="1" applyAlignment="1" applyProtection="1">
      <alignment horizontal="center"/>
    </xf>
    <xf numFmtId="0" fontId="9" fillId="9" borderId="2" xfId="0" applyFont="1" applyFill="1" applyBorder="1" applyAlignment="1" applyProtection="1">
      <alignment horizontal="center" vertical="center"/>
    </xf>
    <xf numFmtId="0" fontId="4" fillId="11" borderId="27" xfId="0" applyFont="1" applyFill="1" applyBorder="1" applyAlignment="1" applyProtection="1">
      <alignment horizontal="center" vertical="center"/>
      <protection locked="0"/>
    </xf>
    <xf numFmtId="0" fontId="4" fillId="11" borderId="13" xfId="0" applyFont="1" applyFill="1" applyBorder="1" applyAlignment="1" applyProtection="1">
      <alignment horizontal="center" vertical="center"/>
      <protection locked="0"/>
    </xf>
    <xf numFmtId="0" fontId="4" fillId="11" borderId="28" xfId="0" applyFont="1" applyFill="1" applyBorder="1" applyAlignment="1" applyProtection="1">
      <alignment horizontal="center" vertical="center"/>
      <protection locked="0"/>
    </xf>
    <xf numFmtId="0" fontId="4" fillId="11" borderId="20" xfId="0" applyFont="1" applyFill="1" applyBorder="1" applyAlignment="1" applyProtection="1">
      <alignment horizontal="center" vertical="center"/>
      <protection locked="0"/>
    </xf>
    <xf numFmtId="0" fontId="20" fillId="11" borderId="13" xfId="0" applyFont="1" applyFill="1" applyBorder="1" applyAlignment="1" applyProtection="1">
      <alignment horizontal="center" vertical="center"/>
      <protection locked="0"/>
    </xf>
    <xf numFmtId="0" fontId="20" fillId="11" borderId="9" xfId="0" applyFont="1" applyFill="1" applyBorder="1" applyAlignment="1" applyProtection="1">
      <alignment horizontal="center" vertical="center"/>
      <protection locked="0"/>
    </xf>
    <xf numFmtId="0" fontId="20" fillId="11" borderId="5" xfId="0" applyFont="1" applyFill="1" applyBorder="1" applyAlignment="1" applyProtection="1">
      <alignment horizontal="center" vertical="center"/>
      <protection locked="0"/>
    </xf>
    <xf numFmtId="0" fontId="20" fillId="11" borderId="20" xfId="0" applyFont="1" applyFill="1" applyBorder="1" applyAlignment="1" applyProtection="1">
      <alignment horizontal="center" vertical="center"/>
      <protection locked="0"/>
    </xf>
    <xf numFmtId="0" fontId="20" fillId="11" borderId="2" xfId="0" applyFont="1" applyFill="1" applyBorder="1" applyAlignment="1" applyProtection="1">
      <alignment horizontal="center" vertical="center"/>
      <protection locked="0"/>
    </xf>
    <xf numFmtId="0" fontId="20" fillId="11" borderId="6" xfId="0" applyFont="1" applyFill="1" applyBorder="1" applyAlignment="1" applyProtection="1">
      <alignment horizontal="center" vertical="center"/>
      <protection locked="0"/>
    </xf>
    <xf numFmtId="0" fontId="9" fillId="9" borderId="6" xfId="0" applyFont="1" applyFill="1" applyBorder="1" applyAlignment="1" applyProtection="1">
      <alignment horizontal="center" vertical="center"/>
    </xf>
    <xf numFmtId="0" fontId="5" fillId="11" borderId="27" xfId="0" applyFont="1" applyFill="1" applyBorder="1" applyAlignment="1" applyProtection="1">
      <alignment horizontal="center" vertical="center"/>
      <protection locked="0"/>
    </xf>
    <xf numFmtId="0" fontId="5" fillId="11" borderId="28" xfId="0" applyFont="1" applyFill="1" applyBorder="1" applyAlignment="1" applyProtection="1">
      <alignment horizontal="center" vertical="center"/>
      <protection locked="0"/>
    </xf>
    <xf numFmtId="0" fontId="6" fillId="6" borderId="0" xfId="0" applyFont="1" applyFill="1" applyAlignment="1" applyProtection="1">
      <alignment horizontal="left" vertical="center" wrapText="1"/>
    </xf>
    <xf numFmtId="0" fontId="6" fillId="6" borderId="0" xfId="0" applyFont="1" applyFill="1" applyAlignment="1" applyProtection="1">
      <alignment horizontal="left" vertical="center"/>
    </xf>
    <xf numFmtId="9" fontId="5" fillId="11" borderId="21" xfId="0" applyNumberFormat="1" applyFont="1" applyFill="1" applyBorder="1" applyAlignment="1" applyProtection="1">
      <alignment horizontal="center" vertical="center"/>
      <protection locked="0"/>
    </xf>
    <xf numFmtId="9" fontId="5" fillId="11" borderId="0" xfId="0" applyNumberFormat="1" applyFont="1" applyFill="1" applyBorder="1" applyAlignment="1" applyProtection="1">
      <alignment horizontal="center" vertical="center"/>
      <protection locked="0"/>
    </xf>
    <xf numFmtId="9" fontId="5" fillId="11" borderId="20" xfId="0" applyNumberFormat="1" applyFont="1" applyFill="1" applyBorder="1" applyAlignment="1" applyProtection="1">
      <alignment horizontal="center" vertical="center"/>
      <protection locked="0"/>
    </xf>
    <xf numFmtId="9" fontId="5" fillId="11" borderId="2" xfId="0" applyNumberFormat="1" applyFont="1" applyFill="1" applyBorder="1" applyAlignment="1" applyProtection="1">
      <alignment horizontal="center" vertical="center"/>
      <protection locked="0"/>
    </xf>
    <xf numFmtId="1" fontId="7" fillId="10" borderId="13" xfId="0" applyNumberFormat="1" applyFont="1" applyFill="1" applyBorder="1" applyAlignment="1" applyProtection="1">
      <alignment horizontal="center" vertical="center"/>
    </xf>
    <xf numFmtId="1" fontId="7" fillId="10" borderId="9" xfId="0" applyNumberFormat="1" applyFont="1" applyFill="1" applyBorder="1" applyAlignment="1" applyProtection="1">
      <alignment horizontal="center" vertical="center"/>
    </xf>
    <xf numFmtId="1" fontId="7" fillId="10" borderId="20" xfId="0" applyNumberFormat="1" applyFont="1" applyFill="1" applyBorder="1" applyAlignment="1" applyProtection="1">
      <alignment horizontal="center" vertical="center"/>
    </xf>
    <xf numFmtId="1" fontId="7" fillId="10" borderId="2" xfId="0" applyNumberFormat="1" applyFont="1" applyFill="1" applyBorder="1" applyAlignment="1" applyProtection="1">
      <alignment horizontal="center" vertical="center"/>
    </xf>
    <xf numFmtId="0" fontId="9" fillId="0" borderId="22" xfId="0" applyFont="1" applyBorder="1" applyAlignment="1" applyProtection="1">
      <alignment horizontal="left" vertical="center"/>
    </xf>
    <xf numFmtId="0" fontId="24" fillId="7" borderId="0" xfId="0" applyFont="1" applyFill="1" applyBorder="1" applyAlignment="1" applyProtection="1">
      <alignment horizontal="right" vertical="center"/>
    </xf>
    <xf numFmtId="2" fontId="5" fillId="11" borderId="13" xfId="0" applyNumberFormat="1" applyFont="1" applyFill="1" applyBorder="1" applyAlignment="1" applyProtection="1">
      <alignment horizontal="center" vertical="center"/>
      <protection locked="0"/>
    </xf>
    <xf numFmtId="2" fontId="5" fillId="11" borderId="9" xfId="0" applyNumberFormat="1" applyFont="1" applyFill="1" applyBorder="1" applyAlignment="1" applyProtection="1">
      <alignment horizontal="center" vertical="center"/>
      <protection locked="0"/>
    </xf>
    <xf numFmtId="2" fontId="5" fillId="11" borderId="20" xfId="0" applyNumberFormat="1" applyFont="1" applyFill="1" applyBorder="1" applyAlignment="1" applyProtection="1">
      <alignment horizontal="center" vertical="center"/>
      <protection locked="0"/>
    </xf>
    <xf numFmtId="2" fontId="5" fillId="11" borderId="2" xfId="0" applyNumberFormat="1" applyFont="1" applyFill="1" applyBorder="1" applyAlignment="1" applyProtection="1">
      <alignment horizontal="center" vertical="center"/>
      <protection locked="0"/>
    </xf>
    <xf numFmtId="0" fontId="12" fillId="11" borderId="4" xfId="0" applyFont="1" applyFill="1" applyBorder="1" applyAlignment="1" applyProtection="1">
      <alignment horizontal="left" vertical="center"/>
    </xf>
    <xf numFmtId="0" fontId="12" fillId="11" borderId="8" xfId="0" applyFont="1" applyFill="1" applyBorder="1" applyAlignment="1" applyProtection="1">
      <alignment horizontal="left" vertical="center"/>
    </xf>
    <xf numFmtId="0" fontId="12" fillId="11" borderId="5" xfId="0" applyFont="1" applyFill="1" applyBorder="1" applyAlignment="1" applyProtection="1">
      <alignment horizontal="left" vertical="center"/>
    </xf>
    <xf numFmtId="0" fontId="12" fillId="11" borderId="6" xfId="0" applyFont="1" applyFill="1" applyBorder="1" applyAlignment="1" applyProtection="1">
      <alignment horizontal="left" vertical="center"/>
    </xf>
    <xf numFmtId="0" fontId="12" fillId="11" borderId="9" xfId="0" applyFont="1" applyFill="1" applyBorder="1" applyAlignment="1" applyProtection="1">
      <alignment horizontal="left" vertical="center"/>
    </xf>
    <xf numFmtId="0" fontId="12" fillId="11" borderId="2" xfId="0" applyFont="1" applyFill="1" applyBorder="1" applyAlignment="1" applyProtection="1">
      <alignment horizontal="left" vertical="center"/>
    </xf>
    <xf numFmtId="0" fontId="9" fillId="0" borderId="22" xfId="0" applyFont="1" applyBorder="1" applyAlignment="1" applyProtection="1">
      <alignment horizontal="left" vertical="center" wrapText="1"/>
    </xf>
    <xf numFmtId="0" fontId="9" fillId="9" borderId="9" xfId="0" applyFont="1" applyFill="1" applyBorder="1" applyAlignment="1" applyProtection="1">
      <alignment horizontal="center" vertical="center"/>
    </xf>
    <xf numFmtId="0" fontId="9" fillId="9" borderId="20" xfId="0" applyFont="1" applyFill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left" vertical="center" wrapText="1"/>
    </xf>
    <xf numFmtId="0" fontId="9" fillId="9" borderId="0" xfId="0" applyFont="1" applyFill="1" applyBorder="1" applyAlignment="1" applyProtection="1">
      <alignment horizontal="center" vertical="center"/>
    </xf>
    <xf numFmtId="0" fontId="9" fillId="9" borderId="3" xfId="0" applyFont="1" applyFill="1" applyBorder="1" applyAlignment="1" applyProtection="1">
      <alignment horizontal="center" vertical="center"/>
    </xf>
    <xf numFmtId="0" fontId="9" fillId="3" borderId="0" xfId="0" applyFont="1" applyFill="1" applyBorder="1" applyAlignment="1" applyProtection="1">
      <alignment horizontal="left" vertical="top" wrapText="1"/>
    </xf>
    <xf numFmtId="1" fontId="12" fillId="10" borderId="25" xfId="0" applyNumberFormat="1" applyFont="1" applyFill="1" applyBorder="1" applyAlignment="1" applyProtection="1">
      <alignment horizontal="center" vertical="center" wrapText="1"/>
    </xf>
    <xf numFmtId="1" fontId="12" fillId="10" borderId="18" xfId="0" applyNumberFormat="1" applyFont="1" applyFill="1" applyBorder="1" applyAlignment="1" applyProtection="1">
      <alignment horizontal="center" vertical="center" wrapText="1"/>
    </xf>
    <xf numFmtId="1" fontId="12" fillId="10" borderId="26" xfId="0" applyNumberFormat="1" applyFont="1" applyFill="1" applyBorder="1" applyAlignment="1" applyProtection="1">
      <alignment horizontal="center" vertical="center" wrapText="1"/>
    </xf>
    <xf numFmtId="1" fontId="12" fillId="10" borderId="19" xfId="0" applyNumberFormat="1" applyFont="1" applyFill="1" applyBorder="1" applyAlignment="1" applyProtection="1">
      <alignment horizontal="center" vertical="center" wrapText="1"/>
    </xf>
    <xf numFmtId="0" fontId="9" fillId="0" borderId="18" xfId="0" applyFont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left" vertical="center" wrapText="1"/>
    </xf>
    <xf numFmtId="0" fontId="9" fillId="0" borderId="19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left" vertical="center" wrapText="1"/>
    </xf>
    <xf numFmtId="164" fontId="9" fillId="10" borderId="7" xfId="0" applyNumberFormat="1" applyFont="1" applyFill="1" applyBorder="1" applyAlignment="1" applyProtection="1">
      <alignment horizontal="center" vertical="center"/>
    </xf>
    <xf numFmtId="164" fontId="9" fillId="10" borderId="29" xfId="0" applyNumberFormat="1" applyFont="1" applyFill="1" applyBorder="1" applyAlignment="1" applyProtection="1">
      <alignment horizontal="center" vertical="center"/>
    </xf>
    <xf numFmtId="3" fontId="12" fillId="10" borderId="13" xfId="0" applyNumberFormat="1" applyFont="1" applyFill="1" applyBorder="1" applyAlignment="1" applyProtection="1">
      <alignment horizontal="center" vertical="center"/>
    </xf>
    <xf numFmtId="3" fontId="12" fillId="10" borderId="9" xfId="0" applyNumberFormat="1" applyFont="1" applyFill="1" applyBorder="1" applyAlignment="1" applyProtection="1">
      <alignment horizontal="center" vertical="center"/>
    </xf>
    <xf numFmtId="3" fontId="12" fillId="10" borderId="12" xfId="0" applyNumberFormat="1" applyFont="1" applyFill="1" applyBorder="1" applyAlignment="1" applyProtection="1">
      <alignment horizontal="center" vertical="center"/>
    </xf>
    <xf numFmtId="3" fontId="12" fillId="10" borderId="2" xfId="0" applyNumberFormat="1" applyFont="1" applyFill="1" applyBorder="1" applyAlignment="1" applyProtection="1">
      <alignment horizontal="center" vertical="center"/>
    </xf>
    <xf numFmtId="0" fontId="12" fillId="11" borderId="30" xfId="0" applyFont="1" applyFill="1" applyBorder="1" applyAlignment="1" applyProtection="1">
      <alignment horizontal="left" vertical="center"/>
    </xf>
    <xf numFmtId="164" fontId="9" fillId="10" borderId="4" xfId="0" applyNumberFormat="1" applyFont="1" applyFill="1" applyBorder="1" applyAlignment="1" applyProtection="1">
      <alignment horizontal="center" vertical="center"/>
    </xf>
    <xf numFmtId="3" fontId="12" fillId="10" borderId="11" xfId="0" applyNumberFormat="1" applyFont="1" applyFill="1" applyBorder="1" applyAlignment="1" applyProtection="1">
      <alignment horizontal="center" vertical="center"/>
    </xf>
    <xf numFmtId="0" fontId="12" fillId="10" borderId="9" xfId="0" applyFont="1" applyFill="1" applyBorder="1" applyAlignment="1" applyProtection="1">
      <alignment horizontal="center" vertical="center"/>
    </xf>
    <xf numFmtId="0" fontId="12" fillId="10" borderId="2" xfId="0" applyFont="1" applyFill="1" applyBorder="1" applyAlignment="1" applyProtection="1">
      <alignment horizontal="center" vertical="center"/>
    </xf>
    <xf numFmtId="0" fontId="9" fillId="9" borderId="23" xfId="0" applyFont="1" applyFill="1" applyBorder="1" applyAlignment="1" applyProtection="1">
      <alignment horizontal="left" vertical="center"/>
    </xf>
    <xf numFmtId="0" fontId="9" fillId="9" borderId="15" xfId="0" applyFont="1" applyFill="1" applyBorder="1" applyAlignment="1" applyProtection="1">
      <alignment horizontal="left" vertical="center"/>
    </xf>
    <xf numFmtId="0" fontId="8" fillId="9" borderId="15" xfId="0" applyFont="1" applyFill="1" applyBorder="1" applyAlignment="1" applyProtection="1">
      <alignment horizontal="center" vertical="center"/>
    </xf>
    <xf numFmtId="0" fontId="9" fillId="9" borderId="15" xfId="0" applyFont="1" applyFill="1" applyBorder="1" applyAlignment="1" applyProtection="1">
      <alignment horizontal="center" vertical="center"/>
    </xf>
    <xf numFmtId="0" fontId="9" fillId="9" borderId="24" xfId="0" applyFont="1" applyFill="1" applyBorder="1" applyAlignment="1" applyProtection="1">
      <alignment horizontal="center" vertical="center"/>
    </xf>
    <xf numFmtId="3" fontId="12" fillId="10" borderId="14" xfId="0" applyNumberFormat="1" applyFont="1" applyFill="1" applyBorder="1" applyAlignment="1" applyProtection="1">
      <alignment horizontal="center" vertical="center"/>
    </xf>
    <xf numFmtId="0" fontId="12" fillId="10" borderId="15" xfId="0" applyFont="1" applyFill="1" applyBorder="1" applyAlignment="1" applyProtection="1">
      <alignment horizontal="center" vertical="center"/>
    </xf>
    <xf numFmtId="14" fontId="4" fillId="10" borderId="13" xfId="0" applyNumberFormat="1" applyFont="1" applyFill="1" applyBorder="1" applyAlignment="1" applyProtection="1">
      <alignment horizontal="center" vertical="center"/>
    </xf>
    <xf numFmtId="14" fontId="4" fillId="10" borderId="20" xfId="0" applyNumberFormat="1" applyFont="1" applyFill="1" applyBorder="1" applyAlignment="1" applyProtection="1">
      <alignment horizontal="center" vertical="center"/>
    </xf>
    <xf numFmtId="0" fontId="5" fillId="11" borderId="13" xfId="0" applyFont="1" applyFill="1" applyBorder="1" applyAlignment="1" applyProtection="1">
      <alignment horizontal="left" vertical="center"/>
      <protection locked="0"/>
    </xf>
    <xf numFmtId="0" fontId="5" fillId="11" borderId="9" xfId="0" applyFont="1" applyFill="1" applyBorder="1" applyAlignment="1" applyProtection="1">
      <alignment horizontal="left" vertical="center"/>
      <protection locked="0"/>
    </xf>
    <xf numFmtId="0" fontId="5" fillId="11" borderId="4" xfId="0" applyFont="1" applyFill="1" applyBorder="1" applyAlignment="1" applyProtection="1">
      <alignment horizontal="left" vertical="center"/>
      <protection locked="0"/>
    </xf>
    <xf numFmtId="0" fontId="5" fillId="11" borderId="20" xfId="0" applyFont="1" applyFill="1" applyBorder="1" applyAlignment="1" applyProtection="1">
      <alignment horizontal="left" vertical="center"/>
      <protection locked="0"/>
    </xf>
    <xf numFmtId="0" fontId="5" fillId="11" borderId="2" xfId="0" applyFont="1" applyFill="1" applyBorder="1" applyAlignment="1" applyProtection="1">
      <alignment horizontal="left" vertical="center"/>
      <protection locked="0"/>
    </xf>
    <xf numFmtId="0" fontId="5" fillId="11" borderId="8" xfId="0" applyFont="1" applyFill="1" applyBorder="1" applyAlignment="1" applyProtection="1">
      <alignment horizontal="left" vertical="center"/>
      <protection locked="0"/>
    </xf>
    <xf numFmtId="0" fontId="9" fillId="9" borderId="1" xfId="0" applyFont="1" applyFill="1" applyBorder="1" applyAlignment="1" applyProtection="1">
      <alignment horizontal="left" vertical="center" wrapText="1"/>
    </xf>
    <xf numFmtId="0" fontId="9" fillId="9" borderId="0" xfId="0" applyFont="1" applyFill="1" applyBorder="1" applyAlignment="1" applyProtection="1">
      <alignment horizontal="left" vertical="center" wrapText="1"/>
    </xf>
    <xf numFmtId="0" fontId="9" fillId="9" borderId="3" xfId="0" applyFont="1" applyFill="1" applyBorder="1" applyAlignment="1" applyProtection="1">
      <alignment horizontal="left" vertical="center" wrapText="1"/>
    </xf>
    <xf numFmtId="0" fontId="15" fillId="11" borderId="9" xfId="0" applyFont="1" applyFill="1" applyBorder="1" applyAlignment="1" applyProtection="1">
      <alignment horizontal="center" vertical="center" wrapText="1"/>
      <protection locked="0"/>
    </xf>
    <xf numFmtId="0" fontId="15" fillId="11" borderId="4" xfId="0" applyFont="1" applyFill="1" applyBorder="1" applyAlignment="1" applyProtection="1">
      <alignment horizontal="center" vertical="center" wrapText="1"/>
      <protection locked="0"/>
    </xf>
    <xf numFmtId="0" fontId="15" fillId="11" borderId="2" xfId="0" applyFont="1" applyFill="1" applyBorder="1" applyAlignment="1" applyProtection="1">
      <alignment horizontal="center" vertical="center" wrapText="1"/>
      <protection locked="0"/>
    </xf>
    <xf numFmtId="0" fontId="15" fillId="11" borderId="8" xfId="0" applyFont="1" applyFill="1" applyBorder="1" applyAlignment="1" applyProtection="1">
      <alignment horizontal="center" vertical="center" wrapText="1"/>
      <protection locked="0"/>
    </xf>
    <xf numFmtId="164" fontId="9" fillId="10" borderId="12" xfId="0" applyNumberFormat="1" applyFont="1" applyFill="1" applyBorder="1" applyAlignment="1" applyProtection="1">
      <alignment horizontal="center" vertical="center"/>
    </xf>
    <xf numFmtId="164" fontId="9" fillId="10" borderId="2" xfId="0" applyNumberFormat="1" applyFont="1" applyFill="1" applyBorder="1" applyAlignment="1" applyProtection="1">
      <alignment horizontal="center" vertical="center"/>
    </xf>
    <xf numFmtId="0" fontId="9" fillId="9" borderId="9" xfId="0" applyFont="1" applyFill="1" applyBorder="1" applyAlignment="1" applyProtection="1">
      <alignment horizontal="left" vertical="center"/>
    </xf>
    <xf numFmtId="0" fontId="9" fillId="9" borderId="5" xfId="0" applyFont="1" applyFill="1" applyBorder="1" applyAlignment="1" applyProtection="1">
      <alignment horizontal="left" vertical="center"/>
    </xf>
    <xf numFmtId="0" fontId="9" fillId="0" borderId="1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left" vertical="center"/>
    </xf>
    <xf numFmtId="0" fontId="9" fillId="9" borderId="18" xfId="0" applyFont="1" applyFill="1" applyBorder="1" applyAlignment="1" applyProtection="1">
      <alignment horizontal="center" vertical="center" wrapText="1"/>
    </xf>
    <xf numFmtId="0" fontId="9" fillId="9" borderId="1" xfId="0" applyFont="1" applyFill="1" applyBorder="1" applyAlignment="1" applyProtection="1">
      <alignment horizontal="center" vertical="center" wrapText="1"/>
    </xf>
    <xf numFmtId="0" fontId="9" fillId="3" borderId="0" xfId="0" applyFont="1" applyFill="1" applyBorder="1" applyAlignment="1" applyProtection="1">
      <alignment horizontal="left" vertical="center"/>
    </xf>
    <xf numFmtId="0" fontId="12" fillId="11" borderId="13" xfId="0" applyFont="1" applyFill="1" applyBorder="1" applyAlignment="1" applyProtection="1">
      <alignment horizontal="center" vertical="center"/>
      <protection locked="0"/>
    </xf>
    <xf numFmtId="0" fontId="12" fillId="11" borderId="9" xfId="0" applyFont="1" applyFill="1" applyBorder="1" applyAlignment="1" applyProtection="1">
      <alignment horizontal="center" vertical="center"/>
      <protection locked="0"/>
    </xf>
    <xf numFmtId="0" fontId="12" fillId="11" borderId="20" xfId="0" applyFont="1" applyFill="1" applyBorder="1" applyAlignment="1" applyProtection="1">
      <alignment horizontal="center" vertical="center"/>
      <protection locked="0"/>
    </xf>
    <xf numFmtId="0" fontId="12" fillId="11" borderId="2" xfId="0" applyFont="1" applyFill="1" applyBorder="1" applyAlignment="1" applyProtection="1">
      <alignment horizontal="center" vertical="center"/>
      <protection locked="0"/>
    </xf>
    <xf numFmtId="0" fontId="9" fillId="9" borderId="19" xfId="0" applyFont="1" applyFill="1" applyBorder="1" applyAlignment="1" applyProtection="1">
      <alignment horizontal="center" vertical="center" wrapText="1"/>
    </xf>
    <xf numFmtId="0" fontId="9" fillId="9" borderId="24" xfId="0" applyFont="1" applyFill="1" applyBorder="1" applyAlignment="1" applyProtection="1">
      <alignment horizontal="left" vertical="center"/>
    </xf>
    <xf numFmtId="0" fontId="9" fillId="0" borderId="1" xfId="0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horizontal="left" vertical="center" wrapText="1"/>
    </xf>
    <xf numFmtId="0" fontId="9" fillId="0" borderId="19" xfId="0" applyFont="1" applyFill="1" applyBorder="1" applyAlignment="1" applyProtection="1">
      <alignment horizontal="left" vertical="center" wrapText="1"/>
    </xf>
    <xf numFmtId="0" fontId="9" fillId="0" borderId="2" xfId="0" applyFont="1" applyFill="1" applyBorder="1" applyAlignment="1" applyProtection="1">
      <alignment horizontal="left" vertical="center" wrapText="1"/>
    </xf>
    <xf numFmtId="0" fontId="7" fillId="10" borderId="12" xfId="0" applyFont="1" applyFill="1" applyBorder="1" applyAlignment="1" applyProtection="1">
      <alignment horizontal="center" vertical="center"/>
    </xf>
    <xf numFmtId="0" fontId="7" fillId="10" borderId="2" xfId="0" applyFont="1" applyFill="1" applyBorder="1" applyAlignment="1" applyProtection="1">
      <alignment horizontal="center" vertical="center"/>
    </xf>
    <xf numFmtId="167" fontId="12" fillId="10" borderId="25" xfId="0" applyNumberFormat="1" applyFont="1" applyFill="1" applyBorder="1" applyAlignment="1" applyProtection="1">
      <alignment horizontal="center" vertical="center"/>
    </xf>
    <xf numFmtId="167" fontId="12" fillId="10" borderId="18" xfId="0" applyNumberFormat="1" applyFont="1" applyFill="1" applyBorder="1" applyAlignment="1" applyProtection="1">
      <alignment horizontal="center" vertical="center"/>
    </xf>
    <xf numFmtId="167" fontId="12" fillId="10" borderId="26" xfId="0" applyNumberFormat="1" applyFont="1" applyFill="1" applyBorder="1" applyAlignment="1" applyProtection="1">
      <alignment horizontal="center" vertical="center"/>
    </xf>
    <xf numFmtId="167" fontId="12" fillId="10" borderId="19" xfId="0" applyNumberFormat="1" applyFont="1" applyFill="1" applyBorder="1" applyAlignment="1" applyProtection="1">
      <alignment horizontal="center" vertical="center"/>
    </xf>
    <xf numFmtId="0" fontId="18" fillId="0" borderId="1" xfId="0" applyFont="1" applyFill="1" applyBorder="1" applyAlignment="1" applyProtection="1">
      <alignment horizontal="left" vertical="top"/>
    </xf>
    <xf numFmtId="0" fontId="9" fillId="2" borderId="2" xfId="0" applyFont="1" applyFill="1" applyBorder="1" applyAlignment="1" applyProtection="1">
      <alignment horizontal="center" vertical="center"/>
    </xf>
    <xf numFmtId="0" fontId="4" fillId="5" borderId="27" xfId="0" applyFont="1" applyFill="1" applyBorder="1" applyAlignment="1" applyProtection="1">
      <alignment horizontal="center" vertical="center"/>
    </xf>
    <xf numFmtId="0" fontId="4" fillId="5" borderId="13" xfId="0" applyFont="1" applyFill="1" applyBorder="1" applyAlignment="1" applyProtection="1">
      <alignment horizontal="center" vertical="center"/>
    </xf>
    <xf numFmtId="0" fontId="4" fillId="5" borderId="28" xfId="0" applyFont="1" applyFill="1" applyBorder="1" applyAlignment="1" applyProtection="1">
      <alignment horizontal="center" vertical="center"/>
    </xf>
    <xf numFmtId="0" fontId="4" fillId="5" borderId="20" xfId="0" applyFont="1" applyFill="1" applyBorder="1" applyAlignment="1" applyProtection="1">
      <alignment horizontal="center" vertical="center"/>
    </xf>
    <xf numFmtId="0" fontId="20" fillId="5" borderId="13" xfId="0" applyFont="1" applyFill="1" applyBorder="1" applyAlignment="1" applyProtection="1">
      <alignment horizontal="center" vertical="center"/>
    </xf>
    <xf numFmtId="0" fontId="20" fillId="5" borderId="9" xfId="0" applyFont="1" applyFill="1" applyBorder="1" applyAlignment="1" applyProtection="1">
      <alignment horizontal="center" vertical="center"/>
    </xf>
    <xf numFmtId="0" fontId="20" fillId="5" borderId="5" xfId="0" applyFont="1" applyFill="1" applyBorder="1" applyAlignment="1" applyProtection="1">
      <alignment horizontal="center" vertical="center"/>
    </xf>
    <xf numFmtId="0" fontId="20" fillId="5" borderId="20" xfId="0" applyFont="1" applyFill="1" applyBorder="1" applyAlignment="1" applyProtection="1">
      <alignment horizontal="center" vertical="center"/>
    </xf>
    <xf numFmtId="0" fontId="20" fillId="5" borderId="2" xfId="0" applyFont="1" applyFill="1" applyBorder="1" applyAlignment="1" applyProtection="1">
      <alignment horizontal="center" vertical="center"/>
    </xf>
    <xf numFmtId="0" fontId="20" fillId="5" borderId="6" xfId="0" applyFont="1" applyFill="1" applyBorder="1" applyAlignment="1" applyProtection="1">
      <alignment horizontal="center" vertical="center"/>
    </xf>
    <xf numFmtId="0" fontId="15" fillId="5" borderId="9" xfId="0" applyFont="1" applyFill="1" applyBorder="1" applyAlignment="1" applyProtection="1">
      <alignment horizontal="center" vertical="center" wrapText="1"/>
    </xf>
    <xf numFmtId="0" fontId="15" fillId="5" borderId="4" xfId="0" applyFont="1" applyFill="1" applyBorder="1" applyAlignment="1" applyProtection="1">
      <alignment horizontal="center" vertical="center" wrapText="1"/>
    </xf>
    <xf numFmtId="0" fontId="15" fillId="5" borderId="2" xfId="0" applyFont="1" applyFill="1" applyBorder="1" applyAlignment="1" applyProtection="1">
      <alignment horizontal="center" vertical="center" wrapText="1"/>
    </xf>
    <xf numFmtId="0" fontId="15" fillId="5" borderId="8" xfId="0" applyFont="1" applyFill="1" applyBorder="1" applyAlignment="1" applyProtection="1">
      <alignment horizontal="center" vertical="center" wrapText="1"/>
    </xf>
    <xf numFmtId="0" fontId="12" fillId="5" borderId="30" xfId="0" applyFont="1" applyFill="1" applyBorder="1" applyAlignment="1" applyProtection="1">
      <alignment horizontal="left" vertical="center"/>
    </xf>
    <xf numFmtId="164" fontId="9" fillId="4" borderId="12" xfId="0" applyNumberFormat="1" applyFont="1" applyFill="1" applyBorder="1" applyAlignment="1" applyProtection="1">
      <alignment horizontal="center" vertical="center"/>
    </xf>
    <xf numFmtId="164" fontId="9" fillId="4" borderId="11" xfId="0" applyNumberFormat="1" applyFont="1" applyFill="1" applyBorder="1" applyAlignment="1" applyProtection="1">
      <alignment horizontal="center" vertical="center"/>
    </xf>
    <xf numFmtId="164" fontId="9" fillId="4" borderId="2" xfId="0" applyNumberFormat="1" applyFont="1" applyFill="1" applyBorder="1" applyAlignment="1" applyProtection="1">
      <alignment horizontal="center" vertical="center"/>
    </xf>
    <xf numFmtId="0" fontId="12" fillId="4" borderId="9" xfId="0" applyFont="1" applyFill="1" applyBorder="1" applyAlignment="1" applyProtection="1">
      <alignment horizontal="left" vertical="center"/>
    </xf>
    <xf numFmtId="0" fontId="12" fillId="4" borderId="2" xfId="0" applyFont="1" applyFill="1" applyBorder="1" applyAlignment="1" applyProtection="1">
      <alignment horizontal="left" vertical="center"/>
    </xf>
    <xf numFmtId="0" fontId="9" fillId="2" borderId="23" xfId="0" applyFont="1" applyFill="1" applyBorder="1" applyAlignment="1" applyProtection="1">
      <alignment horizontal="left" vertical="center"/>
    </xf>
    <xf numFmtId="0" fontId="9" fillId="2" borderId="15" xfId="0" applyFont="1" applyFill="1" applyBorder="1" applyAlignment="1" applyProtection="1">
      <alignment horizontal="left" vertical="center"/>
    </xf>
    <xf numFmtId="0" fontId="9" fillId="2" borderId="9" xfId="0" applyFont="1" applyFill="1" applyBorder="1" applyAlignment="1" applyProtection="1">
      <alignment horizontal="left" vertical="center"/>
    </xf>
    <xf numFmtId="0" fontId="9" fillId="2" borderId="5" xfId="0" applyFont="1" applyFill="1" applyBorder="1" applyAlignment="1" applyProtection="1">
      <alignment horizontal="left" vertical="center"/>
    </xf>
    <xf numFmtId="0" fontId="9" fillId="2" borderId="18" xfId="0" applyFont="1" applyFill="1" applyBorder="1" applyAlignment="1" applyProtection="1">
      <alignment horizontal="center" vertical="center" wrapText="1"/>
    </xf>
    <xf numFmtId="0" fontId="9" fillId="2" borderId="9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horizontal="center" vertical="center" wrapText="1"/>
    </xf>
    <xf numFmtId="1" fontId="12" fillId="4" borderId="25" xfId="0" applyNumberFormat="1" applyFont="1" applyFill="1" applyBorder="1" applyAlignment="1" applyProtection="1">
      <alignment horizontal="center" vertical="center" wrapText="1"/>
    </xf>
    <xf numFmtId="1" fontId="12" fillId="4" borderId="18" xfId="0" applyNumberFormat="1" applyFont="1" applyFill="1" applyBorder="1" applyAlignment="1" applyProtection="1">
      <alignment horizontal="center" vertical="center" wrapText="1"/>
    </xf>
    <xf numFmtId="1" fontId="12" fillId="4" borderId="26" xfId="0" applyNumberFormat="1" applyFont="1" applyFill="1" applyBorder="1" applyAlignment="1" applyProtection="1">
      <alignment horizontal="center" vertical="center" wrapText="1"/>
    </xf>
    <xf numFmtId="1" fontId="12" fillId="4" borderId="19" xfId="0" applyNumberFormat="1" applyFont="1" applyFill="1" applyBorder="1" applyAlignment="1" applyProtection="1">
      <alignment horizontal="center" vertical="center" wrapText="1"/>
    </xf>
    <xf numFmtId="166" fontId="12" fillId="4" borderId="9" xfId="0" applyNumberFormat="1" applyFont="1" applyFill="1" applyBorder="1" applyAlignment="1" applyProtection="1">
      <alignment horizontal="center" vertical="center"/>
    </xf>
    <xf numFmtId="166" fontId="12" fillId="4" borderId="2" xfId="0" applyNumberFormat="1" applyFont="1" applyFill="1" applyBorder="1" applyAlignment="1" applyProtection="1">
      <alignment horizontal="center" vertical="center"/>
    </xf>
    <xf numFmtId="3" fontId="12" fillId="4" borderId="14" xfId="0" applyNumberFormat="1" applyFont="1" applyFill="1" applyBorder="1" applyAlignment="1" applyProtection="1">
      <alignment horizontal="center" vertical="center"/>
    </xf>
    <xf numFmtId="0" fontId="12" fillId="4" borderId="15" xfId="0" applyFont="1" applyFill="1" applyBorder="1" applyAlignment="1" applyProtection="1">
      <alignment horizontal="center" vertical="center"/>
    </xf>
    <xf numFmtId="3" fontId="12" fillId="4" borderId="9" xfId="0" applyNumberFormat="1" applyFont="1" applyFill="1" applyBorder="1" applyAlignment="1" applyProtection="1">
      <alignment horizontal="center" vertical="center"/>
    </xf>
    <xf numFmtId="3" fontId="12" fillId="4" borderId="11" xfId="0" applyNumberFormat="1" applyFont="1" applyFill="1" applyBorder="1" applyAlignment="1" applyProtection="1">
      <alignment horizontal="center" vertical="center"/>
    </xf>
    <xf numFmtId="0" fontId="12" fillId="4" borderId="16" xfId="0" applyFont="1" applyFill="1" applyBorder="1" applyAlignment="1" applyProtection="1">
      <alignment horizontal="left" vertical="center"/>
    </xf>
    <xf numFmtId="0" fontId="12" fillId="4" borderId="17" xfId="0" applyFont="1" applyFill="1" applyBorder="1" applyAlignment="1" applyProtection="1">
      <alignment horizontal="left" vertical="center"/>
    </xf>
    <xf numFmtId="14" fontId="4" fillId="4" borderId="13" xfId="0" applyNumberFormat="1" applyFont="1" applyFill="1" applyBorder="1" applyAlignment="1" applyProtection="1">
      <alignment horizontal="center" vertical="center"/>
    </xf>
    <xf numFmtId="14" fontId="4" fillId="4" borderId="20" xfId="0" applyNumberFormat="1" applyFont="1" applyFill="1" applyBorder="1" applyAlignment="1" applyProtection="1">
      <alignment horizontal="center" vertical="center"/>
    </xf>
    <xf numFmtId="0" fontId="5" fillId="5" borderId="13" xfId="0" applyFont="1" applyFill="1" applyBorder="1" applyAlignment="1" applyProtection="1">
      <alignment horizontal="left" vertical="center"/>
    </xf>
    <xf numFmtId="0" fontId="5" fillId="5" borderId="9" xfId="0" applyFont="1" applyFill="1" applyBorder="1" applyAlignment="1" applyProtection="1">
      <alignment horizontal="left" vertical="center"/>
    </xf>
    <xf numFmtId="0" fontId="5" fillId="5" borderId="4" xfId="0" applyFont="1" applyFill="1" applyBorder="1" applyAlignment="1" applyProtection="1">
      <alignment horizontal="left" vertical="center"/>
    </xf>
    <xf numFmtId="0" fontId="5" fillId="5" borderId="20" xfId="0" applyFont="1" applyFill="1" applyBorder="1" applyAlignment="1" applyProtection="1">
      <alignment horizontal="left" vertical="center"/>
    </xf>
    <xf numFmtId="0" fontId="5" fillId="5" borderId="2" xfId="0" applyFont="1" applyFill="1" applyBorder="1" applyAlignment="1" applyProtection="1">
      <alignment horizontal="left" vertical="center"/>
    </xf>
    <xf numFmtId="0" fontId="5" fillId="5" borderId="8" xfId="0" applyFont="1" applyFill="1" applyBorder="1" applyAlignment="1" applyProtection="1">
      <alignment horizontal="left" vertical="center"/>
    </xf>
    <xf numFmtId="0" fontId="9" fillId="2" borderId="1" xfId="0" applyFont="1" applyFill="1" applyBorder="1" applyAlignment="1" applyProtection="1">
      <alignment horizontal="left" vertical="center" wrapText="1"/>
    </xf>
    <xf numFmtId="0" fontId="9" fillId="2" borderId="0" xfId="0" applyFont="1" applyFill="1" applyBorder="1" applyAlignment="1" applyProtection="1">
      <alignment horizontal="left" vertical="center" wrapText="1"/>
    </xf>
    <xf numFmtId="0" fontId="9" fillId="2" borderId="3" xfId="0" applyFont="1" applyFill="1" applyBorder="1" applyAlignment="1" applyProtection="1">
      <alignment horizontal="left" vertical="center" wrapText="1"/>
    </xf>
    <xf numFmtId="164" fontId="9" fillId="4" borderId="7" xfId="0" applyNumberFormat="1" applyFont="1" applyFill="1" applyBorder="1" applyAlignment="1" applyProtection="1">
      <alignment horizontal="center" vertical="center"/>
    </xf>
    <xf numFmtId="164" fontId="9" fillId="4" borderId="29" xfId="0" applyNumberFormat="1" applyFont="1" applyFill="1" applyBorder="1" applyAlignment="1" applyProtection="1">
      <alignment horizontal="center" vertical="center"/>
    </xf>
    <xf numFmtId="3" fontId="12" fillId="4" borderId="13" xfId="0" applyNumberFormat="1" applyFont="1" applyFill="1" applyBorder="1" applyAlignment="1" applyProtection="1">
      <alignment horizontal="center" vertical="center"/>
    </xf>
    <xf numFmtId="3" fontId="12" fillId="4" borderId="12" xfId="0" applyNumberFormat="1" applyFont="1" applyFill="1" applyBorder="1" applyAlignment="1" applyProtection="1">
      <alignment horizontal="center" vertical="center"/>
    </xf>
    <xf numFmtId="3" fontId="12" fillId="4" borderId="2" xfId="0" applyNumberFormat="1" applyFont="1" applyFill="1" applyBorder="1" applyAlignment="1" applyProtection="1">
      <alignment horizontal="center" vertical="center"/>
    </xf>
    <xf numFmtId="164" fontId="9" fillId="4" borderId="4" xfId="0" applyNumberFormat="1" applyFont="1" applyFill="1" applyBorder="1" applyAlignment="1" applyProtection="1">
      <alignment horizontal="center" vertical="center"/>
    </xf>
    <xf numFmtId="0" fontId="24" fillId="3" borderId="0" xfId="0" applyFont="1" applyFill="1" applyBorder="1" applyAlignment="1" applyProtection="1">
      <alignment horizontal="right" vertical="center"/>
    </xf>
    <xf numFmtId="2" fontId="5" fillId="5" borderId="13" xfId="0" applyNumberFormat="1" applyFont="1" applyFill="1" applyBorder="1" applyAlignment="1" applyProtection="1">
      <alignment horizontal="center" vertical="center"/>
    </xf>
    <xf numFmtId="2" fontId="5" fillId="5" borderId="9" xfId="0" applyNumberFormat="1" applyFont="1" applyFill="1" applyBorder="1" applyAlignment="1" applyProtection="1">
      <alignment horizontal="center" vertical="center"/>
    </xf>
    <xf numFmtId="2" fontId="5" fillId="5" borderId="20" xfId="0" applyNumberFormat="1" applyFont="1" applyFill="1" applyBorder="1" applyAlignment="1" applyProtection="1">
      <alignment horizontal="center" vertical="center"/>
    </xf>
    <xf numFmtId="2" fontId="5" fillId="5" borderId="2" xfId="0" applyNumberFormat="1" applyFont="1" applyFill="1" applyBorder="1" applyAlignment="1" applyProtection="1">
      <alignment horizontal="center" vertical="center"/>
    </xf>
    <xf numFmtId="0" fontId="12" fillId="5" borderId="4" xfId="0" applyFont="1" applyFill="1" applyBorder="1" applyAlignment="1" applyProtection="1">
      <alignment horizontal="left" vertical="center"/>
    </xf>
    <xf numFmtId="0" fontId="12" fillId="5" borderId="8" xfId="0" applyFont="1" applyFill="1" applyBorder="1" applyAlignment="1" applyProtection="1">
      <alignment horizontal="left" vertical="center"/>
    </xf>
    <xf numFmtId="0" fontId="12" fillId="5" borderId="5" xfId="0" applyFont="1" applyFill="1" applyBorder="1" applyAlignment="1" applyProtection="1">
      <alignment horizontal="left" vertical="center"/>
    </xf>
    <xf numFmtId="0" fontId="12" fillId="5" borderId="6" xfId="0" applyFont="1" applyFill="1" applyBorder="1" applyAlignment="1" applyProtection="1">
      <alignment horizontal="left" vertical="center"/>
    </xf>
    <xf numFmtId="0" fontId="12" fillId="5" borderId="9" xfId="0" applyFont="1" applyFill="1" applyBorder="1" applyAlignment="1" applyProtection="1">
      <alignment horizontal="left" vertical="center"/>
    </xf>
    <xf numFmtId="0" fontId="12" fillId="5" borderId="2" xfId="0" applyFont="1" applyFill="1" applyBorder="1" applyAlignment="1" applyProtection="1">
      <alignment horizontal="left" vertical="center"/>
    </xf>
    <xf numFmtId="0" fontId="9" fillId="2" borderId="20" xfId="0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 wrapText="1"/>
    </xf>
    <xf numFmtId="0" fontId="9" fillId="2" borderId="6" xfId="0" applyFont="1" applyFill="1" applyBorder="1" applyAlignment="1" applyProtection="1">
      <alignment horizontal="center" vertical="center" wrapText="1"/>
    </xf>
    <xf numFmtId="0" fontId="12" fillId="4" borderId="3" xfId="0" applyFont="1" applyFill="1" applyBorder="1" applyAlignment="1" applyProtection="1">
      <alignment horizontal="left" vertical="center"/>
    </xf>
    <xf numFmtId="0" fontId="12" fillId="4" borderId="6" xfId="0" applyFont="1" applyFill="1" applyBorder="1" applyAlignment="1" applyProtection="1">
      <alignment horizontal="left" vertical="center"/>
    </xf>
    <xf numFmtId="0" fontId="9" fillId="2" borderId="13" xfId="0" applyFont="1" applyFill="1" applyBorder="1" applyAlignment="1" applyProtection="1">
      <alignment horizontal="center" vertical="center" wrapText="1"/>
    </xf>
    <xf numFmtId="0" fontId="9" fillId="2" borderId="21" xfId="0" applyFont="1" applyFill="1" applyBorder="1" applyAlignment="1" applyProtection="1">
      <alignment horizontal="center" vertical="center" wrapText="1"/>
    </xf>
    <xf numFmtId="0" fontId="9" fillId="2" borderId="5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9" fontId="5" fillId="5" borderId="21" xfId="0" applyNumberFormat="1" applyFont="1" applyFill="1" applyBorder="1" applyAlignment="1" applyProtection="1">
      <alignment horizontal="center" vertical="center"/>
    </xf>
    <xf numFmtId="9" fontId="5" fillId="5" borderId="0" xfId="0" applyNumberFormat="1" applyFont="1" applyFill="1" applyBorder="1" applyAlignment="1" applyProtection="1">
      <alignment horizontal="center" vertical="center"/>
    </xf>
    <xf numFmtId="9" fontId="5" fillId="5" borderId="20" xfId="0" applyNumberFormat="1" applyFont="1" applyFill="1" applyBorder="1" applyAlignment="1" applyProtection="1">
      <alignment horizontal="center" vertical="center"/>
    </xf>
    <xf numFmtId="9" fontId="5" fillId="5" borderId="2" xfId="0" applyNumberFormat="1" applyFont="1" applyFill="1" applyBorder="1" applyAlignment="1" applyProtection="1">
      <alignment horizontal="center" vertical="center"/>
    </xf>
    <xf numFmtId="1" fontId="7" fillId="4" borderId="13" xfId="0" applyNumberFormat="1" applyFont="1" applyFill="1" applyBorder="1" applyAlignment="1" applyProtection="1">
      <alignment horizontal="center" vertical="center"/>
    </xf>
    <xf numFmtId="1" fontId="7" fillId="4" borderId="9" xfId="0" applyNumberFormat="1" applyFont="1" applyFill="1" applyBorder="1" applyAlignment="1" applyProtection="1">
      <alignment horizontal="center" vertical="center"/>
    </xf>
    <xf numFmtId="1" fontId="7" fillId="4" borderId="20" xfId="0" applyNumberFormat="1" applyFont="1" applyFill="1" applyBorder="1" applyAlignment="1" applyProtection="1">
      <alignment horizontal="center" vertical="center"/>
    </xf>
    <xf numFmtId="1" fontId="7" fillId="4" borderId="2" xfId="0" applyNumberFormat="1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</xf>
    <xf numFmtId="0" fontId="9" fillId="2" borderId="6" xfId="0" applyFont="1" applyFill="1" applyBorder="1" applyAlignment="1" applyProtection="1">
      <alignment horizontal="center" vertical="center"/>
    </xf>
    <xf numFmtId="0" fontId="12" fillId="4" borderId="5" xfId="0" applyFont="1" applyFill="1" applyBorder="1" applyAlignment="1" applyProtection="1">
      <alignment horizontal="left" vertical="center"/>
    </xf>
    <xf numFmtId="0" fontId="16" fillId="0" borderId="18" xfId="0" applyFont="1" applyBorder="1" applyAlignment="1" applyProtection="1">
      <alignment horizontal="left" vertical="center"/>
    </xf>
    <xf numFmtId="0" fontId="16" fillId="0" borderId="9" xfId="0" applyFont="1" applyBorder="1" applyAlignment="1" applyProtection="1">
      <alignment horizontal="left" vertical="center"/>
    </xf>
    <xf numFmtId="0" fontId="16" fillId="0" borderId="5" xfId="0" applyFont="1" applyBorder="1" applyAlignment="1" applyProtection="1">
      <alignment horizontal="left" vertical="center"/>
    </xf>
    <xf numFmtId="0" fontId="16" fillId="0" borderId="1" xfId="0" applyFont="1" applyBorder="1" applyAlignment="1" applyProtection="1">
      <alignment horizontal="left" vertical="center"/>
    </xf>
    <xf numFmtId="0" fontId="16" fillId="0" borderId="0" xfId="0" applyFont="1" applyBorder="1" applyAlignment="1" applyProtection="1">
      <alignment horizontal="left" vertical="center"/>
    </xf>
    <xf numFmtId="0" fontId="16" fillId="0" borderId="3" xfId="0" applyFont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3" xfId="0" applyFont="1" applyFill="1" applyBorder="1" applyAlignment="1" applyProtection="1">
      <alignment horizontal="left" vertical="center"/>
    </xf>
    <xf numFmtId="0" fontId="9" fillId="2" borderId="18" xfId="0" applyFont="1" applyFill="1" applyBorder="1" applyAlignment="1" applyProtection="1">
      <alignment horizontal="left" vertical="center" wrapText="1"/>
    </xf>
    <xf numFmtId="0" fontId="9" fillId="2" borderId="9" xfId="0" applyFont="1" applyFill="1" applyBorder="1" applyAlignment="1" applyProtection="1">
      <alignment horizontal="left" vertical="center" wrapText="1"/>
    </xf>
    <xf numFmtId="0" fontId="9" fillId="2" borderId="19" xfId="0" applyFont="1" applyFill="1" applyBorder="1" applyAlignment="1" applyProtection="1">
      <alignment horizontal="left" vertical="center" wrapText="1"/>
    </xf>
    <xf numFmtId="0" fontId="9" fillId="2" borderId="2" xfId="0" applyFont="1" applyFill="1" applyBorder="1" applyAlignment="1" applyProtection="1">
      <alignment horizontal="left" vertical="center" wrapText="1"/>
    </xf>
    <xf numFmtId="0" fontId="5" fillId="5" borderId="27" xfId="0" applyFont="1" applyFill="1" applyBorder="1" applyAlignment="1" applyProtection="1">
      <alignment horizontal="center" vertical="center"/>
    </xf>
    <xf numFmtId="0" fontId="5" fillId="5" borderId="28" xfId="0" applyFont="1" applyFill="1" applyBorder="1" applyAlignment="1" applyProtection="1">
      <alignment horizontal="center" vertical="center"/>
    </xf>
    <xf numFmtId="164" fontId="9" fillId="4" borderId="9" xfId="0" applyNumberFormat="1" applyFont="1" applyFill="1" applyBorder="1" applyAlignment="1" applyProtection="1">
      <alignment horizontal="center" vertical="center"/>
    </xf>
    <xf numFmtId="0" fontId="12" fillId="5" borderId="13" xfId="0" applyFont="1" applyFill="1" applyBorder="1" applyAlignment="1" applyProtection="1">
      <alignment horizontal="center" vertical="center"/>
    </xf>
    <xf numFmtId="0" fontId="12" fillId="5" borderId="9" xfId="0" applyFont="1" applyFill="1" applyBorder="1" applyAlignment="1" applyProtection="1">
      <alignment horizontal="center" vertical="center"/>
    </xf>
    <xf numFmtId="0" fontId="12" fillId="5" borderId="20" xfId="0" applyFont="1" applyFill="1" applyBorder="1" applyAlignment="1" applyProtection="1">
      <alignment horizontal="center" vertical="center"/>
    </xf>
    <xf numFmtId="0" fontId="12" fillId="5" borderId="2" xfId="0" applyFont="1" applyFill="1" applyBorder="1" applyAlignment="1" applyProtection="1">
      <alignment horizontal="center" vertical="center"/>
    </xf>
    <xf numFmtId="0" fontId="9" fillId="2" borderId="19" xfId="0" applyFont="1" applyFill="1" applyBorder="1" applyAlignment="1" applyProtection="1">
      <alignment horizontal="center" vertical="center" wrapText="1"/>
    </xf>
    <xf numFmtId="3" fontId="5" fillId="5" borderId="14" xfId="0" applyNumberFormat="1" applyFont="1" applyFill="1" applyBorder="1" applyAlignment="1" applyProtection="1">
      <alignment horizontal="center" vertical="center"/>
    </xf>
    <xf numFmtId="3" fontId="5" fillId="5" borderId="15" xfId="0" applyNumberFormat="1" applyFont="1" applyFill="1" applyBorder="1" applyAlignment="1" applyProtection="1">
      <alignment horizontal="center" vertical="center"/>
    </xf>
    <xf numFmtId="1" fontId="12" fillId="4" borderId="9" xfId="0" applyNumberFormat="1" applyFont="1" applyFill="1" applyBorder="1" applyAlignment="1" applyProtection="1">
      <alignment horizontal="center" vertical="center"/>
    </xf>
    <xf numFmtId="1" fontId="12" fillId="4" borderId="2" xfId="0" applyNumberFormat="1" applyFont="1" applyFill="1" applyBorder="1" applyAlignment="1" applyProtection="1">
      <alignment horizontal="center" vertical="center"/>
    </xf>
    <xf numFmtId="1" fontId="12" fillId="4" borderId="13" xfId="0" applyNumberFormat="1" applyFont="1" applyFill="1" applyBorder="1" applyAlignment="1" applyProtection="1">
      <alignment horizontal="center" vertical="center"/>
    </xf>
    <xf numFmtId="1" fontId="12" fillId="4" borderId="20" xfId="0" applyNumberFormat="1" applyFont="1" applyFill="1" applyBorder="1" applyAlignment="1" applyProtection="1">
      <alignment horizontal="center" vertical="center"/>
    </xf>
    <xf numFmtId="2" fontId="19" fillId="4" borderId="13" xfId="0" applyNumberFormat="1" applyFont="1" applyFill="1" applyBorder="1" applyAlignment="1" applyProtection="1">
      <alignment horizontal="center" vertical="center"/>
    </xf>
    <xf numFmtId="2" fontId="19" fillId="4" borderId="9" xfId="0" applyNumberFormat="1" applyFont="1" applyFill="1" applyBorder="1" applyAlignment="1" applyProtection="1">
      <alignment horizontal="center" vertical="center"/>
    </xf>
    <xf numFmtId="2" fontId="19" fillId="4" borderId="20" xfId="0" applyNumberFormat="1" applyFont="1" applyFill="1" applyBorder="1" applyAlignment="1" applyProtection="1">
      <alignment horizontal="center" vertical="center"/>
    </xf>
    <xf numFmtId="2" fontId="19" fillId="4" borderId="2" xfId="0" applyNumberFormat="1" applyFont="1" applyFill="1" applyBorder="1" applyAlignment="1" applyProtection="1">
      <alignment horizontal="center" vertical="center"/>
    </xf>
    <xf numFmtId="9" fontId="15" fillId="5" borderId="21" xfId="0" applyNumberFormat="1" applyFont="1" applyFill="1" applyBorder="1" applyAlignment="1" applyProtection="1">
      <alignment horizontal="center" vertical="center"/>
    </xf>
    <xf numFmtId="9" fontId="15" fillId="5" borderId="0" xfId="0" applyNumberFormat="1" applyFont="1" applyFill="1" applyBorder="1" applyAlignment="1" applyProtection="1">
      <alignment horizontal="center" vertical="center"/>
    </xf>
    <xf numFmtId="9" fontId="15" fillId="5" borderId="22" xfId="0" applyNumberFormat="1" applyFont="1" applyFill="1" applyBorder="1" applyAlignment="1" applyProtection="1">
      <alignment horizontal="center" vertical="center"/>
    </xf>
    <xf numFmtId="9" fontId="15" fillId="5" borderId="20" xfId="0" applyNumberFormat="1" applyFont="1" applyFill="1" applyBorder="1" applyAlignment="1" applyProtection="1">
      <alignment horizontal="center" vertical="center"/>
    </xf>
    <xf numFmtId="9" fontId="15" fillId="5" borderId="2" xfId="0" applyNumberFormat="1" applyFont="1" applyFill="1" applyBorder="1" applyAlignment="1" applyProtection="1">
      <alignment horizontal="center" vertical="center"/>
    </xf>
    <xf numFmtId="9" fontId="15" fillId="5" borderId="8" xfId="0" applyNumberFormat="1" applyFont="1" applyFill="1" applyBorder="1" applyAlignment="1" applyProtection="1">
      <alignment horizontal="center" vertical="center"/>
    </xf>
    <xf numFmtId="9" fontId="12" fillId="4" borderId="13" xfId="0" applyNumberFormat="1" applyFont="1" applyFill="1" applyBorder="1" applyAlignment="1" applyProtection="1">
      <alignment horizontal="center" vertical="center"/>
    </xf>
    <xf numFmtId="9" fontId="12" fillId="4" borderId="9" xfId="0" applyNumberFormat="1" applyFont="1" applyFill="1" applyBorder="1" applyAlignment="1" applyProtection="1">
      <alignment horizontal="center" vertical="center"/>
    </xf>
    <xf numFmtId="0" fontId="6" fillId="4" borderId="9" xfId="0" applyFont="1" applyFill="1" applyBorder="1" applyAlignment="1" applyProtection="1">
      <alignment horizontal="center" vertical="center"/>
    </xf>
    <xf numFmtId="0" fontId="6" fillId="4" borderId="2" xfId="0" applyFont="1" applyFill="1" applyBorder="1" applyAlignment="1" applyProtection="1">
      <alignment horizontal="center" vertical="center"/>
    </xf>
    <xf numFmtId="0" fontId="7" fillId="4" borderId="12" xfId="0" applyFont="1" applyFill="1" applyBorder="1" applyAlignment="1" applyProtection="1">
      <alignment horizontal="center" vertical="center"/>
    </xf>
    <xf numFmtId="0" fontId="7" fillId="4" borderId="2" xfId="0" applyFont="1" applyFill="1" applyBorder="1" applyAlignment="1" applyProtection="1">
      <alignment horizontal="center" vertical="center"/>
    </xf>
    <xf numFmtId="167" fontId="12" fillId="4" borderId="25" xfId="0" applyNumberFormat="1" applyFont="1" applyFill="1" applyBorder="1" applyAlignment="1" applyProtection="1">
      <alignment horizontal="center" vertical="center"/>
    </xf>
    <xf numFmtId="167" fontId="12" fillId="4" borderId="18" xfId="0" applyNumberFormat="1" applyFont="1" applyFill="1" applyBorder="1" applyAlignment="1" applyProtection="1">
      <alignment horizontal="center" vertical="center"/>
    </xf>
    <xf numFmtId="167" fontId="12" fillId="4" borderId="26" xfId="0" applyNumberFormat="1" applyFont="1" applyFill="1" applyBorder="1" applyAlignment="1" applyProtection="1">
      <alignment horizontal="center" vertical="center"/>
    </xf>
    <xf numFmtId="167" fontId="12" fillId="4" borderId="19" xfId="0" applyNumberFormat="1" applyFont="1" applyFill="1" applyBorder="1" applyAlignment="1" applyProtection="1">
      <alignment horizontal="center" vertical="center"/>
    </xf>
    <xf numFmtId="0" fontId="12" fillId="4" borderId="9" xfId="0" applyFont="1" applyFill="1" applyBorder="1" applyAlignment="1" applyProtection="1">
      <alignment horizontal="center" vertical="center"/>
    </xf>
    <xf numFmtId="0" fontId="12" fillId="4" borderId="2" xfId="0" applyFont="1" applyFill="1" applyBorder="1" applyAlignment="1" applyProtection="1">
      <alignment horizontal="center" vertical="center"/>
    </xf>
    <xf numFmtId="0" fontId="9" fillId="2" borderId="24" xfId="0" applyFont="1" applyFill="1" applyBorder="1" applyAlignment="1" applyProtection="1">
      <alignment horizontal="left" vertical="center"/>
    </xf>
    <xf numFmtId="0" fontId="9" fillId="2" borderId="20" xfId="0" applyFont="1" applyFill="1" applyBorder="1" applyAlignment="1" applyProtection="1">
      <alignment horizontal="center" vertical="center"/>
    </xf>
    <xf numFmtId="0" fontId="8" fillId="2" borderId="15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24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4">
    <dxf>
      <font>
        <condense val="0"/>
        <extend val="0"/>
        <color indexed="55"/>
      </font>
    </dxf>
    <dxf>
      <font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55"/>
      </font>
    </dxf>
    <dxf>
      <font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</dxfs>
  <tableStyles count="0" defaultTableStyle="TableStyleMedium9" defaultPivotStyle="PivotStyleLight16"/>
  <colors>
    <mruColors>
      <color rgb="FFD0EDAD"/>
      <color rgb="FFFFCDE8"/>
      <color rgb="FFFFF2A3"/>
      <color rgb="FF7BCB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021329645932656E-2"/>
          <c:y val="5.6213078656343889E-2"/>
          <c:w val="0.89787513882294767"/>
          <c:h val="0.8934920923271501"/>
        </c:manualLayout>
      </c:layout>
      <c:scatterChart>
        <c:scatterStyle val="lineMarker"/>
        <c:varyColors val="0"/>
        <c:ser>
          <c:idx val="0"/>
          <c:order val="0"/>
          <c:tx>
            <c:strRef>
              <c:f>Données!$B$4</c:f>
              <c:strCache>
                <c:ptCount val="1"/>
                <c:pt idx="0">
                  <c:v>Terrain aménagé</c:v>
                </c:pt>
              </c:strCache>
            </c:strRef>
          </c:tx>
          <c:spPr>
            <a:ln w="38100">
              <a:pattFill prst="pct25">
                <a:fgClr>
                  <a:srgbClr val="008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dLbls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t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2FA-4CCE-9291-5D255807A55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Données!$C$2:$U$2</c:f>
              <c:numCache>
                <c:formatCode>0.00</c:formatCode>
                <c:ptCount val="19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4.5</c:v>
                </c:pt>
                <c:pt idx="8">
                  <c:v>4.5</c:v>
                </c:pt>
                <c:pt idx="9">
                  <c:v>6</c:v>
                </c:pt>
                <c:pt idx="10">
                  <c:v>7.5</c:v>
                </c:pt>
                <c:pt idx="11">
                  <c:v>7.5</c:v>
                </c:pt>
                <c:pt idx="12">
                  <c:v>8</c:v>
                </c:pt>
                <c:pt idx="13">
                  <c:v>9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11</c:v>
                </c:pt>
                <c:pt idx="18">
                  <c:v>12</c:v>
                </c:pt>
              </c:numCache>
            </c:numRef>
          </c:xVal>
          <c:yVal>
            <c:numRef>
              <c:f>Données!$C$4:$U$4</c:f>
              <c:numCache>
                <c:formatCode>0.00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2FA-4CCE-9291-5D255807A55F}"/>
            </c:ext>
          </c:extLst>
        </c:ser>
        <c:ser>
          <c:idx val="2"/>
          <c:order val="1"/>
          <c:tx>
            <c:strRef>
              <c:f>Données!$B$5</c:f>
              <c:strCache>
                <c:ptCount val="1"/>
                <c:pt idx="0">
                  <c:v>P.H.E.</c:v>
                </c:pt>
              </c:strCache>
            </c:strRef>
          </c:tx>
          <c:spPr>
            <a:ln w="25400">
              <a:solidFill>
                <a:srgbClr val="00CCFF"/>
              </a:solidFill>
              <a:prstDash val="lgDashDot"/>
            </a:ln>
          </c:spPr>
          <c:marker>
            <c:symbol val="none"/>
          </c:marker>
          <c:dLbls>
            <c:dLbl>
              <c:idx val="9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2FA-4CCE-9291-5D255807A55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Données!$C$2:$U$2</c:f>
              <c:numCache>
                <c:formatCode>0.00</c:formatCode>
                <c:ptCount val="19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4.5</c:v>
                </c:pt>
                <c:pt idx="8">
                  <c:v>4.5</c:v>
                </c:pt>
                <c:pt idx="9">
                  <c:v>6</c:v>
                </c:pt>
                <c:pt idx="10">
                  <c:v>7.5</c:v>
                </c:pt>
                <c:pt idx="11">
                  <c:v>7.5</c:v>
                </c:pt>
                <c:pt idx="12">
                  <c:v>8</c:v>
                </c:pt>
                <c:pt idx="13">
                  <c:v>9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11</c:v>
                </c:pt>
                <c:pt idx="18">
                  <c:v>12</c:v>
                </c:pt>
              </c:numCache>
            </c:numRef>
          </c:xVal>
          <c:yVal>
            <c:numRef>
              <c:f>Données!$C$5:$U$5</c:f>
              <c:numCache>
                <c:formatCode>General</c:formatCode>
                <c:ptCount val="19"/>
                <c:pt idx="0">
                  <c:v>-0.3</c:v>
                </c:pt>
                <c:pt idx="1">
                  <c:v>-0.3</c:v>
                </c:pt>
                <c:pt idx="2">
                  <c:v>-0.3</c:v>
                </c:pt>
                <c:pt idx="3">
                  <c:v>-0.3</c:v>
                </c:pt>
                <c:pt idx="4">
                  <c:v>-0.3</c:v>
                </c:pt>
                <c:pt idx="5">
                  <c:v>-0.3</c:v>
                </c:pt>
                <c:pt idx="6">
                  <c:v>-0.3</c:v>
                </c:pt>
                <c:pt idx="7">
                  <c:v>-0.3</c:v>
                </c:pt>
                <c:pt idx="8">
                  <c:v>-0.3</c:v>
                </c:pt>
                <c:pt idx="9">
                  <c:v>-0.3</c:v>
                </c:pt>
                <c:pt idx="10">
                  <c:v>-0.3</c:v>
                </c:pt>
                <c:pt idx="11">
                  <c:v>-0.3</c:v>
                </c:pt>
                <c:pt idx="12">
                  <c:v>-0.3</c:v>
                </c:pt>
                <c:pt idx="13">
                  <c:v>-0.3</c:v>
                </c:pt>
                <c:pt idx="14">
                  <c:v>-0.3</c:v>
                </c:pt>
                <c:pt idx="15">
                  <c:v>-0.3</c:v>
                </c:pt>
                <c:pt idx="16">
                  <c:v>-0.3</c:v>
                </c:pt>
                <c:pt idx="17">
                  <c:v>-0.3</c:v>
                </c:pt>
                <c:pt idx="18">
                  <c:v>-0.3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B2FA-4CCE-9291-5D255807A55F}"/>
            </c:ext>
          </c:extLst>
        </c:ser>
        <c:ser>
          <c:idx val="3"/>
          <c:order val="2"/>
          <c:tx>
            <c:strRef>
              <c:f>Données!$B$6</c:f>
              <c:strCache>
                <c:ptCount val="1"/>
                <c:pt idx="0">
                  <c:v>Axe ajutage</c:v>
                </c:pt>
              </c:strCache>
            </c:strRef>
          </c:tx>
          <c:spPr>
            <a:ln w="12700">
              <a:solidFill>
                <a:srgbClr val="FF0000"/>
              </a:solidFill>
              <a:prstDash val="lgDashDotDot"/>
            </a:ln>
          </c:spPr>
          <c:marker>
            <c:symbol val="none"/>
          </c:marker>
          <c:dLbls>
            <c:dLbl>
              <c:idx val="17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2FA-4CCE-9291-5D255807A55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Données!$C$2:$U$2</c:f>
              <c:numCache>
                <c:formatCode>0.00</c:formatCode>
                <c:ptCount val="19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4.5</c:v>
                </c:pt>
                <c:pt idx="8">
                  <c:v>4.5</c:v>
                </c:pt>
                <c:pt idx="9">
                  <c:v>6</c:v>
                </c:pt>
                <c:pt idx="10">
                  <c:v>7.5</c:v>
                </c:pt>
                <c:pt idx="11">
                  <c:v>7.5</c:v>
                </c:pt>
                <c:pt idx="12">
                  <c:v>8</c:v>
                </c:pt>
                <c:pt idx="13">
                  <c:v>9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11</c:v>
                </c:pt>
                <c:pt idx="18">
                  <c:v>12</c:v>
                </c:pt>
              </c:numCache>
            </c:numRef>
          </c:xVal>
          <c:yVal>
            <c:numRef>
              <c:f>Données!$C$6:$U$6</c:f>
              <c:numCache>
                <c:formatCode>0.00</c:formatCode>
                <c:ptCount val="19"/>
                <c:pt idx="0">
                  <c:v>-1.3</c:v>
                </c:pt>
                <c:pt idx="1">
                  <c:v>-1.3</c:v>
                </c:pt>
                <c:pt idx="2">
                  <c:v>-1.3</c:v>
                </c:pt>
                <c:pt idx="3">
                  <c:v>-1.3</c:v>
                </c:pt>
                <c:pt idx="4">
                  <c:v>-1.3</c:v>
                </c:pt>
                <c:pt idx="5">
                  <c:v>-1.3</c:v>
                </c:pt>
                <c:pt idx="6">
                  <c:v>-1.3</c:v>
                </c:pt>
                <c:pt idx="7">
                  <c:v>-1.3</c:v>
                </c:pt>
                <c:pt idx="8">
                  <c:v>-1.3</c:v>
                </c:pt>
                <c:pt idx="9">
                  <c:v>-1.3</c:v>
                </c:pt>
                <c:pt idx="10">
                  <c:v>-1.3</c:v>
                </c:pt>
                <c:pt idx="11">
                  <c:v>-1.3</c:v>
                </c:pt>
                <c:pt idx="12">
                  <c:v>-1.3</c:v>
                </c:pt>
                <c:pt idx="13">
                  <c:v>-1.3</c:v>
                </c:pt>
                <c:pt idx="14">
                  <c:v>-1.3</c:v>
                </c:pt>
                <c:pt idx="15">
                  <c:v>-1.3</c:v>
                </c:pt>
                <c:pt idx="16">
                  <c:v>-1.3</c:v>
                </c:pt>
                <c:pt idx="17">
                  <c:v>-1.3</c:v>
                </c:pt>
                <c:pt idx="18">
                  <c:v>-1.3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B2FA-4CCE-9291-5D255807A55F}"/>
            </c:ext>
          </c:extLst>
        </c:ser>
        <c:ser>
          <c:idx val="6"/>
          <c:order val="3"/>
          <c:tx>
            <c:strRef>
              <c:f>Données!$B$9</c:f>
              <c:strCache>
                <c:ptCount val="1"/>
                <c:pt idx="0">
                  <c:v>Charge max 0.01</c:v>
                </c:pt>
              </c:strCache>
            </c:strRef>
          </c:tx>
          <c:spPr>
            <a:ln w="3175">
              <a:solidFill>
                <a:srgbClr val="000000"/>
              </a:solidFill>
              <a:prstDash val="lgDashDot"/>
            </a:ln>
          </c:spPr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5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l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2FA-4CCE-9291-5D255807A55F}"/>
                </c:ext>
              </c:extLst>
            </c:dLbl>
            <c:dLbl>
              <c:idx val="8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l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2FA-4CCE-9291-5D255807A55F}"/>
                </c:ext>
              </c:extLst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l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B2FA-4CCE-9291-5D255807A55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Données!$C$2:$U$2</c:f>
              <c:numCache>
                <c:formatCode>0.00</c:formatCode>
                <c:ptCount val="19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4.5</c:v>
                </c:pt>
                <c:pt idx="8">
                  <c:v>4.5</c:v>
                </c:pt>
                <c:pt idx="9">
                  <c:v>6</c:v>
                </c:pt>
                <c:pt idx="10">
                  <c:v>7.5</c:v>
                </c:pt>
                <c:pt idx="11">
                  <c:v>7.5</c:v>
                </c:pt>
                <c:pt idx="12">
                  <c:v>8</c:v>
                </c:pt>
                <c:pt idx="13">
                  <c:v>9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11</c:v>
                </c:pt>
                <c:pt idx="18">
                  <c:v>12</c:v>
                </c:pt>
              </c:numCache>
            </c:numRef>
          </c:xVal>
          <c:yVal>
            <c:numRef>
              <c:f>Données!$C$9:$U$9</c:f>
              <c:numCache>
                <c:formatCode>0.00</c:formatCode>
                <c:ptCount val="19"/>
                <c:pt idx="13">
                  <c:v>-0.3</c:v>
                </c:pt>
                <c:pt idx="14">
                  <c:v>-1.3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B2FA-4CCE-9291-5D255807A55F}"/>
            </c:ext>
          </c:extLst>
        </c:ser>
        <c:ser>
          <c:idx val="7"/>
          <c:order val="4"/>
          <c:tx>
            <c:strRef>
              <c:f>Données!$B$10</c:f>
              <c:strCache>
                <c:ptCount val="1"/>
                <c:pt idx="0">
                  <c:v>Hs 0,4</c:v>
                </c:pt>
              </c:strCache>
            </c:strRef>
          </c:tx>
          <c:spPr>
            <a:ln w="3175">
              <a:solidFill>
                <a:srgbClr val="000000"/>
              </a:solidFill>
              <a:prstDash val="lgDashDot"/>
            </a:ln>
          </c:spPr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B2FA-4CCE-9291-5D255807A55F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Données!$C$2:$U$2</c:f>
              <c:numCache>
                <c:formatCode>0.00</c:formatCode>
                <c:ptCount val="19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4.5</c:v>
                </c:pt>
                <c:pt idx="8">
                  <c:v>4.5</c:v>
                </c:pt>
                <c:pt idx="9">
                  <c:v>6</c:v>
                </c:pt>
                <c:pt idx="10">
                  <c:v>7.5</c:v>
                </c:pt>
                <c:pt idx="11">
                  <c:v>7.5</c:v>
                </c:pt>
                <c:pt idx="12">
                  <c:v>8</c:v>
                </c:pt>
                <c:pt idx="13">
                  <c:v>9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11</c:v>
                </c:pt>
                <c:pt idx="18">
                  <c:v>12</c:v>
                </c:pt>
              </c:numCache>
            </c:numRef>
          </c:xVal>
          <c:yVal>
            <c:numRef>
              <c:f>Données!$C$10:$U$10</c:f>
              <c:numCache>
                <c:formatCode>0.00</c:formatCode>
                <c:ptCount val="19"/>
                <c:pt idx="4">
                  <c:v>-0.3</c:v>
                </c:pt>
                <c:pt idx="5">
                  <c:v>-0.7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B2FA-4CCE-9291-5D255807A55F}"/>
            </c:ext>
          </c:extLst>
        </c:ser>
        <c:ser>
          <c:idx val="8"/>
          <c:order val="5"/>
          <c:tx>
            <c:strRef>
              <c:f>Données!$B$11</c:f>
              <c:strCache>
                <c:ptCount val="1"/>
                <c:pt idx="0">
                  <c:v>Hc 0,3</c:v>
                </c:pt>
              </c:strCache>
            </c:strRef>
          </c:tx>
          <c:spPr>
            <a:ln w="3175">
              <a:solidFill>
                <a:srgbClr val="000000"/>
              </a:solidFill>
              <a:prstDash val="lgDashDot"/>
            </a:ln>
          </c:spPr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4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B2FA-4CCE-9291-5D255807A55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B2FA-4CCE-9291-5D255807A55F}"/>
                </c:ext>
              </c:extLst>
            </c:dLbl>
            <c:dLbl>
              <c:idx val="6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A-B2FA-4CCE-9291-5D255807A55F}"/>
                </c:ext>
              </c:extLst>
            </c:dLbl>
            <c:dLbl>
              <c:idx val="7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B-B2FA-4CCE-9291-5D255807A55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B2FA-4CCE-9291-5D255807A55F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Données!$C$2:$U$2</c:f>
              <c:numCache>
                <c:formatCode>0.00</c:formatCode>
                <c:ptCount val="19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4.5</c:v>
                </c:pt>
                <c:pt idx="8">
                  <c:v>4.5</c:v>
                </c:pt>
                <c:pt idx="9">
                  <c:v>6</c:v>
                </c:pt>
                <c:pt idx="10">
                  <c:v>7.5</c:v>
                </c:pt>
                <c:pt idx="11">
                  <c:v>7.5</c:v>
                </c:pt>
                <c:pt idx="12">
                  <c:v>8</c:v>
                </c:pt>
                <c:pt idx="13">
                  <c:v>9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11</c:v>
                </c:pt>
                <c:pt idx="18">
                  <c:v>12</c:v>
                </c:pt>
              </c:numCache>
            </c:numRef>
          </c:xVal>
          <c:yVal>
            <c:numRef>
              <c:f>Données!$C$11:$U$11</c:f>
              <c:numCache>
                <c:formatCode>0.00</c:formatCode>
                <c:ptCount val="19"/>
                <c:pt idx="4">
                  <c:v>0</c:v>
                </c:pt>
                <c:pt idx="5">
                  <c:v>-0.3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B2FA-4CCE-9291-5D255807A55F}"/>
            </c:ext>
          </c:extLst>
        </c:ser>
        <c:ser>
          <c:idx val="1"/>
          <c:order val="6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Données!$C$2:$U$2</c:f>
              <c:numCache>
                <c:formatCode>0.00</c:formatCode>
                <c:ptCount val="19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4.5</c:v>
                </c:pt>
                <c:pt idx="8">
                  <c:v>4.5</c:v>
                </c:pt>
                <c:pt idx="9">
                  <c:v>6</c:v>
                </c:pt>
                <c:pt idx="10">
                  <c:v>7.5</c:v>
                </c:pt>
                <c:pt idx="11">
                  <c:v>7.5</c:v>
                </c:pt>
                <c:pt idx="12">
                  <c:v>8</c:v>
                </c:pt>
                <c:pt idx="13">
                  <c:v>9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11</c:v>
                </c:pt>
                <c:pt idx="18">
                  <c:v>12</c:v>
                </c:pt>
              </c:numCache>
            </c:numRef>
          </c:xVal>
          <c:yVal>
            <c:numRef>
              <c:f>Données!$C$19:$U$19</c:f>
              <c:numCache>
                <c:formatCode>0.00</c:formatCode>
                <c:ptCount val="19"/>
                <c:pt idx="0">
                  <c:v>0</c:v>
                </c:pt>
                <c:pt idx="1">
                  <c:v>-0.23333333333333331</c:v>
                </c:pt>
                <c:pt idx="2">
                  <c:v>-0.23333333333333331</c:v>
                </c:pt>
                <c:pt idx="3">
                  <c:v>-0.46666666666666662</c:v>
                </c:pt>
                <c:pt idx="4">
                  <c:v>-0.69999999999999984</c:v>
                </c:pt>
                <c:pt idx="5">
                  <c:v>-0.69999999999999984</c:v>
                </c:pt>
                <c:pt idx="6">
                  <c:v>-0.7</c:v>
                </c:pt>
                <c:pt idx="7">
                  <c:v>-0.7</c:v>
                </c:pt>
                <c:pt idx="8">
                  <c:v>-0.7</c:v>
                </c:pt>
                <c:pt idx="9">
                  <c:v>-0.7</c:v>
                </c:pt>
                <c:pt idx="10">
                  <c:v>-0.7</c:v>
                </c:pt>
                <c:pt idx="11">
                  <c:v>-0.7</c:v>
                </c:pt>
                <c:pt idx="12">
                  <c:v>-0.7</c:v>
                </c:pt>
                <c:pt idx="13">
                  <c:v>-0.7</c:v>
                </c:pt>
                <c:pt idx="14">
                  <c:v>-0.69999999999999984</c:v>
                </c:pt>
                <c:pt idx="15">
                  <c:v>-0.46666666666666662</c:v>
                </c:pt>
                <c:pt idx="16">
                  <c:v>-0.23333333333333331</c:v>
                </c:pt>
                <c:pt idx="17">
                  <c:v>-0.23333333333333331</c:v>
                </c:pt>
                <c:pt idx="1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B2FA-4CCE-9291-5D255807A55F}"/>
            </c:ext>
          </c:extLst>
        </c:ser>
        <c:ser>
          <c:idx val="4"/>
          <c:order val="7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Données!$C$2:$U$2</c:f>
              <c:numCache>
                <c:formatCode>0.00</c:formatCode>
                <c:ptCount val="19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4.5</c:v>
                </c:pt>
                <c:pt idx="8">
                  <c:v>4.5</c:v>
                </c:pt>
                <c:pt idx="9">
                  <c:v>6</c:v>
                </c:pt>
                <c:pt idx="10">
                  <c:v>7.5</c:v>
                </c:pt>
                <c:pt idx="11">
                  <c:v>7.5</c:v>
                </c:pt>
                <c:pt idx="12">
                  <c:v>8</c:v>
                </c:pt>
                <c:pt idx="13">
                  <c:v>9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11</c:v>
                </c:pt>
                <c:pt idx="18">
                  <c:v>12</c:v>
                </c:pt>
              </c:numCache>
            </c:numRef>
          </c:xVal>
          <c:yVal>
            <c:numRef>
              <c:f>Données!$C$20:$U$20</c:f>
              <c:numCache>
                <c:formatCode>0.00</c:formatCode>
                <c:ptCount val="1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B2FA-4CCE-9291-5D255807A5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4838520"/>
        <c:axId val="1"/>
      </c:scatterChart>
      <c:valAx>
        <c:axId val="404838520"/>
        <c:scaling>
          <c:orientation val="minMax"/>
        </c:scaling>
        <c:delete val="1"/>
        <c:axPos val="b"/>
        <c:numFmt formatCode="0.00" sourceLinked="1"/>
        <c:majorTickMark val="out"/>
        <c:minorTickMark val="none"/>
        <c:tickLblPos val="nextTo"/>
        <c:crossAx val="1"/>
        <c:crossesAt val="0.5"/>
        <c:crossBetween val="midCat"/>
      </c:valAx>
      <c:valAx>
        <c:axId val="1"/>
        <c:scaling>
          <c:orientation val="minMax"/>
          <c:max val="0.3"/>
        </c:scaling>
        <c:delete val="0"/>
        <c:axPos val="r"/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04838520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021329645932656E-2"/>
          <c:y val="5.6213078656343889E-2"/>
          <c:w val="0.89787513882294767"/>
          <c:h val="0.8934920923271501"/>
        </c:manualLayout>
      </c:layout>
      <c:scatterChart>
        <c:scatterStyle val="lineMarker"/>
        <c:varyColors val="0"/>
        <c:ser>
          <c:idx val="0"/>
          <c:order val="0"/>
          <c:tx>
            <c:strRef>
              <c:f>Données!$B$4</c:f>
              <c:strCache>
                <c:ptCount val="1"/>
                <c:pt idx="0">
                  <c:v>Terrain aménagé</c:v>
                </c:pt>
              </c:strCache>
            </c:strRef>
          </c:tx>
          <c:spPr>
            <a:ln w="38100">
              <a:pattFill prst="pct25">
                <a:fgClr>
                  <a:srgbClr val="008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dLbls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t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0B2-401A-B207-08DC6557C26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Données!$C$2:$U$2</c:f>
              <c:numCache>
                <c:formatCode>0.00</c:formatCode>
                <c:ptCount val="19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4.5</c:v>
                </c:pt>
                <c:pt idx="8">
                  <c:v>4.5</c:v>
                </c:pt>
                <c:pt idx="9">
                  <c:v>6</c:v>
                </c:pt>
                <c:pt idx="10">
                  <c:v>7.5</c:v>
                </c:pt>
                <c:pt idx="11">
                  <c:v>7.5</c:v>
                </c:pt>
                <c:pt idx="12">
                  <c:v>8</c:v>
                </c:pt>
                <c:pt idx="13">
                  <c:v>9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11</c:v>
                </c:pt>
                <c:pt idx="18">
                  <c:v>12</c:v>
                </c:pt>
              </c:numCache>
            </c:numRef>
          </c:xVal>
          <c:yVal>
            <c:numRef>
              <c:f>Données!$C$4:$U$4</c:f>
              <c:numCache>
                <c:formatCode>0.00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0B2-401A-B207-08DC6557C26D}"/>
            </c:ext>
          </c:extLst>
        </c:ser>
        <c:ser>
          <c:idx val="2"/>
          <c:order val="1"/>
          <c:tx>
            <c:strRef>
              <c:f>Données!$B$5</c:f>
              <c:strCache>
                <c:ptCount val="1"/>
                <c:pt idx="0">
                  <c:v>P.H.E.</c:v>
                </c:pt>
              </c:strCache>
            </c:strRef>
          </c:tx>
          <c:spPr>
            <a:ln w="25400">
              <a:solidFill>
                <a:srgbClr val="00CCFF"/>
              </a:solidFill>
              <a:prstDash val="lgDashDot"/>
            </a:ln>
          </c:spPr>
          <c:marker>
            <c:symbol val="none"/>
          </c:marker>
          <c:dLbls>
            <c:dLbl>
              <c:idx val="9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0B2-401A-B207-08DC6557C26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Données!$C$2:$U$2</c:f>
              <c:numCache>
                <c:formatCode>0.00</c:formatCode>
                <c:ptCount val="19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4.5</c:v>
                </c:pt>
                <c:pt idx="8">
                  <c:v>4.5</c:v>
                </c:pt>
                <c:pt idx="9">
                  <c:v>6</c:v>
                </c:pt>
                <c:pt idx="10">
                  <c:v>7.5</c:v>
                </c:pt>
                <c:pt idx="11">
                  <c:v>7.5</c:v>
                </c:pt>
                <c:pt idx="12">
                  <c:v>8</c:v>
                </c:pt>
                <c:pt idx="13">
                  <c:v>9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11</c:v>
                </c:pt>
                <c:pt idx="18">
                  <c:v>12</c:v>
                </c:pt>
              </c:numCache>
            </c:numRef>
          </c:xVal>
          <c:yVal>
            <c:numRef>
              <c:f>Données!$C$5:$U$5</c:f>
              <c:numCache>
                <c:formatCode>General</c:formatCode>
                <c:ptCount val="19"/>
                <c:pt idx="0">
                  <c:v>-0.3</c:v>
                </c:pt>
                <c:pt idx="1">
                  <c:v>-0.3</c:v>
                </c:pt>
                <c:pt idx="2">
                  <c:v>-0.3</c:v>
                </c:pt>
                <c:pt idx="3">
                  <c:v>-0.3</c:v>
                </c:pt>
                <c:pt idx="4">
                  <c:v>-0.3</c:v>
                </c:pt>
                <c:pt idx="5">
                  <c:v>-0.3</c:v>
                </c:pt>
                <c:pt idx="6">
                  <c:v>-0.3</c:v>
                </c:pt>
                <c:pt idx="7">
                  <c:v>-0.3</c:v>
                </c:pt>
                <c:pt idx="8">
                  <c:v>-0.3</c:v>
                </c:pt>
                <c:pt idx="9">
                  <c:v>-0.3</c:v>
                </c:pt>
                <c:pt idx="10">
                  <c:v>-0.3</c:v>
                </c:pt>
                <c:pt idx="11">
                  <c:v>-0.3</c:v>
                </c:pt>
                <c:pt idx="12">
                  <c:v>-0.3</c:v>
                </c:pt>
                <c:pt idx="13">
                  <c:v>-0.3</c:v>
                </c:pt>
                <c:pt idx="14">
                  <c:v>-0.3</c:v>
                </c:pt>
                <c:pt idx="15">
                  <c:v>-0.3</c:v>
                </c:pt>
                <c:pt idx="16">
                  <c:v>-0.3</c:v>
                </c:pt>
                <c:pt idx="17">
                  <c:v>-0.3</c:v>
                </c:pt>
                <c:pt idx="18">
                  <c:v>-0.3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40B2-401A-B207-08DC6557C26D}"/>
            </c:ext>
          </c:extLst>
        </c:ser>
        <c:ser>
          <c:idx val="3"/>
          <c:order val="2"/>
          <c:tx>
            <c:strRef>
              <c:f>Données!$B$6</c:f>
              <c:strCache>
                <c:ptCount val="1"/>
                <c:pt idx="0">
                  <c:v>Axe ajutage</c:v>
                </c:pt>
              </c:strCache>
            </c:strRef>
          </c:tx>
          <c:spPr>
            <a:ln w="12700">
              <a:solidFill>
                <a:srgbClr val="FF0000"/>
              </a:solidFill>
              <a:prstDash val="lgDashDotDot"/>
            </a:ln>
          </c:spPr>
          <c:marker>
            <c:symbol val="none"/>
          </c:marker>
          <c:dLbls>
            <c:dLbl>
              <c:idx val="17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0B2-401A-B207-08DC6557C26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Données!$C$2:$U$2</c:f>
              <c:numCache>
                <c:formatCode>0.00</c:formatCode>
                <c:ptCount val="19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4.5</c:v>
                </c:pt>
                <c:pt idx="8">
                  <c:v>4.5</c:v>
                </c:pt>
                <c:pt idx="9">
                  <c:v>6</c:v>
                </c:pt>
                <c:pt idx="10">
                  <c:v>7.5</c:v>
                </c:pt>
                <c:pt idx="11">
                  <c:v>7.5</c:v>
                </c:pt>
                <c:pt idx="12">
                  <c:v>8</c:v>
                </c:pt>
                <c:pt idx="13">
                  <c:v>9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11</c:v>
                </c:pt>
                <c:pt idx="18">
                  <c:v>12</c:v>
                </c:pt>
              </c:numCache>
            </c:numRef>
          </c:xVal>
          <c:yVal>
            <c:numRef>
              <c:f>Données!$C$6:$U$6</c:f>
              <c:numCache>
                <c:formatCode>0.00</c:formatCode>
                <c:ptCount val="19"/>
                <c:pt idx="0">
                  <c:v>-1.3</c:v>
                </c:pt>
                <c:pt idx="1">
                  <c:v>-1.3</c:v>
                </c:pt>
                <c:pt idx="2">
                  <c:v>-1.3</c:v>
                </c:pt>
                <c:pt idx="3">
                  <c:v>-1.3</c:v>
                </c:pt>
                <c:pt idx="4">
                  <c:v>-1.3</c:v>
                </c:pt>
                <c:pt idx="5">
                  <c:v>-1.3</c:v>
                </c:pt>
                <c:pt idx="6">
                  <c:v>-1.3</c:v>
                </c:pt>
                <c:pt idx="7">
                  <c:v>-1.3</c:v>
                </c:pt>
                <c:pt idx="8">
                  <c:v>-1.3</c:v>
                </c:pt>
                <c:pt idx="9">
                  <c:v>-1.3</c:v>
                </c:pt>
                <c:pt idx="10">
                  <c:v>-1.3</c:v>
                </c:pt>
                <c:pt idx="11">
                  <c:v>-1.3</c:v>
                </c:pt>
                <c:pt idx="12">
                  <c:v>-1.3</c:v>
                </c:pt>
                <c:pt idx="13">
                  <c:v>-1.3</c:v>
                </c:pt>
                <c:pt idx="14">
                  <c:v>-1.3</c:v>
                </c:pt>
                <c:pt idx="15">
                  <c:v>-1.3</c:v>
                </c:pt>
                <c:pt idx="16">
                  <c:v>-1.3</c:v>
                </c:pt>
                <c:pt idx="17">
                  <c:v>-1.3</c:v>
                </c:pt>
                <c:pt idx="18">
                  <c:v>-1.3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40B2-401A-B207-08DC6557C26D}"/>
            </c:ext>
          </c:extLst>
        </c:ser>
        <c:ser>
          <c:idx val="6"/>
          <c:order val="3"/>
          <c:tx>
            <c:strRef>
              <c:f>Données!$B$9</c:f>
              <c:strCache>
                <c:ptCount val="1"/>
                <c:pt idx="0">
                  <c:v>Charge max 0.01</c:v>
                </c:pt>
              </c:strCache>
            </c:strRef>
          </c:tx>
          <c:spPr>
            <a:ln w="3175">
              <a:solidFill>
                <a:srgbClr val="000000"/>
              </a:solidFill>
              <a:prstDash val="lgDashDot"/>
            </a:ln>
          </c:spPr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5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l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0B2-401A-B207-08DC6557C26D}"/>
                </c:ext>
              </c:extLst>
            </c:dLbl>
            <c:dLbl>
              <c:idx val="8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l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0B2-401A-B207-08DC6557C26D}"/>
                </c:ext>
              </c:extLst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l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0B2-401A-B207-08DC6557C26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Données!$C$2:$U$2</c:f>
              <c:numCache>
                <c:formatCode>0.00</c:formatCode>
                <c:ptCount val="19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4.5</c:v>
                </c:pt>
                <c:pt idx="8">
                  <c:v>4.5</c:v>
                </c:pt>
                <c:pt idx="9">
                  <c:v>6</c:v>
                </c:pt>
                <c:pt idx="10">
                  <c:v>7.5</c:v>
                </c:pt>
                <c:pt idx="11">
                  <c:v>7.5</c:v>
                </c:pt>
                <c:pt idx="12">
                  <c:v>8</c:v>
                </c:pt>
                <c:pt idx="13">
                  <c:v>9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11</c:v>
                </c:pt>
                <c:pt idx="18">
                  <c:v>12</c:v>
                </c:pt>
              </c:numCache>
            </c:numRef>
          </c:xVal>
          <c:yVal>
            <c:numRef>
              <c:f>Données!$C$9:$U$9</c:f>
              <c:numCache>
                <c:formatCode>0.00</c:formatCode>
                <c:ptCount val="19"/>
                <c:pt idx="13">
                  <c:v>-0.3</c:v>
                </c:pt>
                <c:pt idx="14">
                  <c:v>-1.3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40B2-401A-B207-08DC6557C26D}"/>
            </c:ext>
          </c:extLst>
        </c:ser>
        <c:ser>
          <c:idx val="7"/>
          <c:order val="4"/>
          <c:tx>
            <c:strRef>
              <c:f>Données!$B$10</c:f>
              <c:strCache>
                <c:ptCount val="1"/>
                <c:pt idx="0">
                  <c:v>Hs 0,4</c:v>
                </c:pt>
              </c:strCache>
            </c:strRef>
          </c:tx>
          <c:spPr>
            <a:ln w="3175">
              <a:solidFill>
                <a:srgbClr val="000000"/>
              </a:solidFill>
              <a:prstDash val="lgDashDot"/>
            </a:ln>
          </c:spPr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40B2-401A-B207-08DC6557C26D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Données!$C$2:$U$2</c:f>
              <c:numCache>
                <c:formatCode>0.00</c:formatCode>
                <c:ptCount val="19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4.5</c:v>
                </c:pt>
                <c:pt idx="8">
                  <c:v>4.5</c:v>
                </c:pt>
                <c:pt idx="9">
                  <c:v>6</c:v>
                </c:pt>
                <c:pt idx="10">
                  <c:v>7.5</c:v>
                </c:pt>
                <c:pt idx="11">
                  <c:v>7.5</c:v>
                </c:pt>
                <c:pt idx="12">
                  <c:v>8</c:v>
                </c:pt>
                <c:pt idx="13">
                  <c:v>9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11</c:v>
                </c:pt>
                <c:pt idx="18">
                  <c:v>12</c:v>
                </c:pt>
              </c:numCache>
            </c:numRef>
          </c:xVal>
          <c:yVal>
            <c:numRef>
              <c:f>Données!$C$10:$U$10</c:f>
              <c:numCache>
                <c:formatCode>0.00</c:formatCode>
                <c:ptCount val="19"/>
                <c:pt idx="4">
                  <c:v>-0.3</c:v>
                </c:pt>
                <c:pt idx="5">
                  <c:v>-0.7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40B2-401A-B207-08DC6557C26D}"/>
            </c:ext>
          </c:extLst>
        </c:ser>
        <c:ser>
          <c:idx val="8"/>
          <c:order val="5"/>
          <c:tx>
            <c:strRef>
              <c:f>Données!$B$11</c:f>
              <c:strCache>
                <c:ptCount val="1"/>
                <c:pt idx="0">
                  <c:v>Hc 0,3</c:v>
                </c:pt>
              </c:strCache>
            </c:strRef>
          </c:tx>
          <c:spPr>
            <a:ln w="3175">
              <a:solidFill>
                <a:srgbClr val="000000"/>
              </a:solidFill>
              <a:prstDash val="lgDashDot"/>
            </a:ln>
          </c:spPr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4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40B2-401A-B207-08DC6557C26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40B2-401A-B207-08DC6557C26D}"/>
                </c:ext>
              </c:extLst>
            </c:dLbl>
            <c:dLbl>
              <c:idx val="6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A-40B2-401A-B207-08DC6557C26D}"/>
                </c:ext>
              </c:extLst>
            </c:dLbl>
            <c:dLbl>
              <c:idx val="7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B-40B2-401A-B207-08DC6557C26D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40B2-401A-B207-08DC6557C26D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Données!$C$2:$U$2</c:f>
              <c:numCache>
                <c:formatCode>0.00</c:formatCode>
                <c:ptCount val="19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4.5</c:v>
                </c:pt>
                <c:pt idx="8">
                  <c:v>4.5</c:v>
                </c:pt>
                <c:pt idx="9">
                  <c:v>6</c:v>
                </c:pt>
                <c:pt idx="10">
                  <c:v>7.5</c:v>
                </c:pt>
                <c:pt idx="11">
                  <c:v>7.5</c:v>
                </c:pt>
                <c:pt idx="12">
                  <c:v>8</c:v>
                </c:pt>
                <c:pt idx="13">
                  <c:v>9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11</c:v>
                </c:pt>
                <c:pt idx="18">
                  <c:v>12</c:v>
                </c:pt>
              </c:numCache>
            </c:numRef>
          </c:xVal>
          <c:yVal>
            <c:numRef>
              <c:f>Données!$C$11:$U$11</c:f>
              <c:numCache>
                <c:formatCode>0.00</c:formatCode>
                <c:ptCount val="19"/>
                <c:pt idx="4">
                  <c:v>0</c:v>
                </c:pt>
                <c:pt idx="5">
                  <c:v>-0.3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40B2-401A-B207-08DC6557C26D}"/>
            </c:ext>
          </c:extLst>
        </c:ser>
        <c:ser>
          <c:idx val="1"/>
          <c:order val="6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Données!$C$2:$U$2</c:f>
              <c:numCache>
                <c:formatCode>0.00</c:formatCode>
                <c:ptCount val="19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4.5</c:v>
                </c:pt>
                <c:pt idx="8">
                  <c:v>4.5</c:v>
                </c:pt>
                <c:pt idx="9">
                  <c:v>6</c:v>
                </c:pt>
                <c:pt idx="10">
                  <c:v>7.5</c:v>
                </c:pt>
                <c:pt idx="11">
                  <c:v>7.5</c:v>
                </c:pt>
                <c:pt idx="12">
                  <c:v>8</c:v>
                </c:pt>
                <c:pt idx="13">
                  <c:v>9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11</c:v>
                </c:pt>
                <c:pt idx="18">
                  <c:v>12</c:v>
                </c:pt>
              </c:numCache>
            </c:numRef>
          </c:xVal>
          <c:yVal>
            <c:numRef>
              <c:f>Données!$C$19:$U$19</c:f>
              <c:numCache>
                <c:formatCode>0.00</c:formatCode>
                <c:ptCount val="19"/>
                <c:pt idx="0">
                  <c:v>0</c:v>
                </c:pt>
                <c:pt idx="1">
                  <c:v>-0.23333333333333331</c:v>
                </c:pt>
                <c:pt idx="2">
                  <c:v>-0.23333333333333331</c:v>
                </c:pt>
                <c:pt idx="3">
                  <c:v>-0.46666666666666662</c:v>
                </c:pt>
                <c:pt idx="4">
                  <c:v>-0.69999999999999984</c:v>
                </c:pt>
                <c:pt idx="5">
                  <c:v>-0.69999999999999984</c:v>
                </c:pt>
                <c:pt idx="6">
                  <c:v>-0.7</c:v>
                </c:pt>
                <c:pt idx="7">
                  <c:v>-0.7</c:v>
                </c:pt>
                <c:pt idx="8">
                  <c:v>-0.7</c:v>
                </c:pt>
                <c:pt idx="9">
                  <c:v>-0.7</c:v>
                </c:pt>
                <c:pt idx="10">
                  <c:v>-0.7</c:v>
                </c:pt>
                <c:pt idx="11">
                  <c:v>-0.7</c:v>
                </c:pt>
                <c:pt idx="12">
                  <c:v>-0.7</c:v>
                </c:pt>
                <c:pt idx="13">
                  <c:v>-0.7</c:v>
                </c:pt>
                <c:pt idx="14">
                  <c:v>-0.69999999999999984</c:v>
                </c:pt>
                <c:pt idx="15">
                  <c:v>-0.46666666666666662</c:v>
                </c:pt>
                <c:pt idx="16">
                  <c:v>-0.23333333333333331</c:v>
                </c:pt>
                <c:pt idx="17">
                  <c:v>-0.23333333333333331</c:v>
                </c:pt>
                <c:pt idx="1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40B2-401A-B207-08DC6557C26D}"/>
            </c:ext>
          </c:extLst>
        </c:ser>
        <c:ser>
          <c:idx val="4"/>
          <c:order val="7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Données!$C$2:$U$2</c:f>
              <c:numCache>
                <c:formatCode>0.00</c:formatCode>
                <c:ptCount val="19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4.5</c:v>
                </c:pt>
                <c:pt idx="8">
                  <c:v>4.5</c:v>
                </c:pt>
                <c:pt idx="9">
                  <c:v>6</c:v>
                </c:pt>
                <c:pt idx="10">
                  <c:v>7.5</c:v>
                </c:pt>
                <c:pt idx="11">
                  <c:v>7.5</c:v>
                </c:pt>
                <c:pt idx="12">
                  <c:v>8</c:v>
                </c:pt>
                <c:pt idx="13">
                  <c:v>9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11</c:v>
                </c:pt>
                <c:pt idx="18">
                  <c:v>12</c:v>
                </c:pt>
              </c:numCache>
            </c:numRef>
          </c:xVal>
          <c:yVal>
            <c:numRef>
              <c:f>Données!$C$20:$U$20</c:f>
              <c:numCache>
                <c:formatCode>0.00</c:formatCode>
                <c:ptCount val="1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40B2-401A-B207-08DC6557C2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4468592"/>
        <c:axId val="1"/>
      </c:scatterChart>
      <c:valAx>
        <c:axId val="404468592"/>
        <c:scaling>
          <c:orientation val="minMax"/>
        </c:scaling>
        <c:delete val="1"/>
        <c:axPos val="b"/>
        <c:numFmt formatCode="0.00" sourceLinked="1"/>
        <c:majorTickMark val="out"/>
        <c:minorTickMark val="none"/>
        <c:tickLblPos val="nextTo"/>
        <c:crossAx val="1"/>
        <c:crossesAt val="0.5"/>
        <c:crossBetween val="midCat"/>
      </c:valAx>
      <c:valAx>
        <c:axId val="1"/>
        <c:scaling>
          <c:orientation val="minMax"/>
          <c:max val="0.3"/>
        </c:scaling>
        <c:delete val="0"/>
        <c:axPos val="r"/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04468592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4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2.xml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24</xdr:row>
      <xdr:rowOff>0</xdr:rowOff>
    </xdr:from>
    <xdr:to>
      <xdr:col>1</xdr:col>
      <xdr:colOff>304800</xdr:colOff>
      <xdr:row>25</xdr:row>
      <xdr:rowOff>142875</xdr:rowOff>
    </xdr:to>
    <xdr:pic>
      <xdr:nvPicPr>
        <xdr:cNvPr id="12295" name="Picture 1" descr="verifier-vert-icone-6736-32">
          <a:extLst>
            <a:ext uri="{FF2B5EF4-FFF2-40B4-BE49-F238E27FC236}">
              <a16:creationId xmlns:a16="http://schemas.microsoft.com/office/drawing/2014/main" id="{00000000-0008-0000-0000-000007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40481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304800</xdr:colOff>
      <xdr:row>22</xdr:row>
      <xdr:rowOff>142875</xdr:rowOff>
    </xdr:to>
    <xdr:pic>
      <xdr:nvPicPr>
        <xdr:cNvPr id="12296" name="Picture 2" descr="pencil">
          <a:extLst>
            <a:ext uri="{FF2B5EF4-FFF2-40B4-BE49-F238E27FC236}">
              <a16:creationId xmlns:a16="http://schemas.microsoft.com/office/drawing/2014/main" id="{00000000-0008-0000-0000-000008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35623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0</xdr:rowOff>
    </xdr:from>
    <xdr:to>
      <xdr:col>2</xdr:col>
      <xdr:colOff>0</xdr:colOff>
      <xdr:row>45</xdr:row>
      <xdr:rowOff>0</xdr:rowOff>
    </xdr:to>
    <xdr:graphicFrame macro="">
      <xdr:nvGraphicFramePr>
        <xdr:cNvPr id="15422" name="Chart 2">
          <a:extLst>
            <a:ext uri="{FF2B5EF4-FFF2-40B4-BE49-F238E27FC236}">
              <a16:creationId xmlns:a16="http://schemas.microsoft.com/office/drawing/2014/main" id="{00000000-0008-0000-0100-00003E3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809625</xdr:colOff>
      <xdr:row>5</xdr:row>
      <xdr:rowOff>95250</xdr:rowOff>
    </xdr:from>
    <xdr:to>
      <xdr:col>1</xdr:col>
      <xdr:colOff>0</xdr:colOff>
      <xdr:row>7</xdr:row>
      <xdr:rowOff>0</xdr:rowOff>
    </xdr:to>
    <xdr:pic>
      <xdr:nvPicPr>
        <xdr:cNvPr id="15423" name="Picture 6" descr="pencil">
          <a:extLst>
            <a:ext uri="{FF2B5EF4-FFF2-40B4-BE49-F238E27FC236}">
              <a16:creationId xmlns:a16="http://schemas.microsoft.com/office/drawing/2014/main" id="{00000000-0008-0000-0100-00003F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0953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575877</xdr:colOff>
      <xdr:row>13</xdr:row>
      <xdr:rowOff>104775</xdr:rowOff>
    </xdr:from>
    <xdr:to>
      <xdr:col>6</xdr:col>
      <xdr:colOff>159866</xdr:colOff>
      <xdr:row>14</xdr:row>
      <xdr:rowOff>209550</xdr:rowOff>
    </xdr:to>
    <xdr:pic>
      <xdr:nvPicPr>
        <xdr:cNvPr id="15424" name="Picture 7" descr="pencil">
          <a:extLst>
            <a:ext uri="{FF2B5EF4-FFF2-40B4-BE49-F238E27FC236}">
              <a16:creationId xmlns:a16="http://schemas.microsoft.com/office/drawing/2014/main" id="{00000000-0008-0000-0100-000040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2363" y="2782072"/>
          <a:ext cx="304800" cy="310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573302</xdr:colOff>
      <xdr:row>15</xdr:row>
      <xdr:rowOff>59981</xdr:rowOff>
    </xdr:from>
    <xdr:to>
      <xdr:col>6</xdr:col>
      <xdr:colOff>154202</xdr:colOff>
      <xdr:row>16</xdr:row>
      <xdr:rowOff>164756</xdr:rowOff>
    </xdr:to>
    <xdr:pic>
      <xdr:nvPicPr>
        <xdr:cNvPr id="15425" name="Picture 8" descr="pencil">
          <a:extLst>
            <a:ext uri="{FF2B5EF4-FFF2-40B4-BE49-F238E27FC236}">
              <a16:creationId xmlns:a16="http://schemas.microsoft.com/office/drawing/2014/main" id="{00000000-0008-0000-0100-000041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9788" y="3290758"/>
          <a:ext cx="301711" cy="310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604452</xdr:colOff>
      <xdr:row>17</xdr:row>
      <xdr:rowOff>134379</xdr:rowOff>
    </xdr:from>
    <xdr:to>
      <xdr:col>6</xdr:col>
      <xdr:colOff>188441</xdr:colOff>
      <xdr:row>18</xdr:row>
      <xdr:rowOff>239154</xdr:rowOff>
    </xdr:to>
    <xdr:pic>
      <xdr:nvPicPr>
        <xdr:cNvPr id="15426" name="Picture 9" descr="pencil">
          <a:extLst>
            <a:ext uri="{FF2B5EF4-FFF2-40B4-BE49-F238E27FC236}">
              <a16:creationId xmlns:a16="http://schemas.microsoft.com/office/drawing/2014/main" id="{00000000-0008-0000-0100-000042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0938" y="3777048"/>
          <a:ext cx="304800" cy="310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104775</xdr:colOff>
      <xdr:row>32</xdr:row>
      <xdr:rowOff>57150</xdr:rowOff>
    </xdr:from>
    <xdr:to>
      <xdr:col>3</xdr:col>
      <xdr:colOff>409575</xdr:colOff>
      <xdr:row>33</xdr:row>
      <xdr:rowOff>161925</xdr:rowOff>
    </xdr:to>
    <xdr:pic>
      <xdr:nvPicPr>
        <xdr:cNvPr id="15428" name="Picture 12" descr="pencil">
          <a:extLst>
            <a:ext uri="{FF2B5EF4-FFF2-40B4-BE49-F238E27FC236}">
              <a16:creationId xmlns:a16="http://schemas.microsoft.com/office/drawing/2014/main" id="{00000000-0008-0000-0100-000044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62198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57150</xdr:colOff>
      <xdr:row>36</xdr:row>
      <xdr:rowOff>57150</xdr:rowOff>
    </xdr:from>
    <xdr:to>
      <xdr:col>3</xdr:col>
      <xdr:colOff>361950</xdr:colOff>
      <xdr:row>37</xdr:row>
      <xdr:rowOff>161925</xdr:rowOff>
    </xdr:to>
    <xdr:pic>
      <xdr:nvPicPr>
        <xdr:cNvPr id="15429" name="Picture 13" descr="pencil">
          <a:extLst>
            <a:ext uri="{FF2B5EF4-FFF2-40B4-BE49-F238E27FC236}">
              <a16:creationId xmlns:a16="http://schemas.microsoft.com/office/drawing/2014/main" id="{00000000-0008-0000-0100-000045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7725" y="70199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38100</xdr:colOff>
      <xdr:row>41</xdr:row>
      <xdr:rowOff>57150</xdr:rowOff>
    </xdr:from>
    <xdr:to>
      <xdr:col>3</xdr:col>
      <xdr:colOff>342900</xdr:colOff>
      <xdr:row>42</xdr:row>
      <xdr:rowOff>161925</xdr:rowOff>
    </xdr:to>
    <xdr:pic>
      <xdr:nvPicPr>
        <xdr:cNvPr id="15430" name="Picture 14" descr="pencil">
          <a:extLst>
            <a:ext uri="{FF2B5EF4-FFF2-40B4-BE49-F238E27FC236}">
              <a16:creationId xmlns:a16="http://schemas.microsoft.com/office/drawing/2014/main" id="{00000000-0008-0000-0100-000046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8675" y="8020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83151</xdr:colOff>
      <xdr:row>9</xdr:row>
      <xdr:rowOff>38614</xdr:rowOff>
    </xdr:from>
    <xdr:to>
      <xdr:col>1</xdr:col>
      <xdr:colOff>387951</xdr:colOff>
      <xdr:row>10</xdr:row>
      <xdr:rowOff>143390</xdr:rowOff>
    </xdr:to>
    <xdr:pic>
      <xdr:nvPicPr>
        <xdr:cNvPr id="15432" name="Picture 16" descr="pencil">
          <a:extLst>
            <a:ext uri="{FF2B5EF4-FFF2-40B4-BE49-F238E27FC236}">
              <a16:creationId xmlns:a16="http://schemas.microsoft.com/office/drawing/2014/main" id="{00000000-0008-0000-0100-000048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2982" y="1892128"/>
          <a:ext cx="304800" cy="310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218818</xdr:colOff>
      <xdr:row>1</xdr:row>
      <xdr:rowOff>64359</xdr:rowOff>
    </xdr:from>
    <xdr:to>
      <xdr:col>10</xdr:col>
      <xdr:colOff>563427</xdr:colOff>
      <xdr:row>5</xdr:row>
      <xdr:rowOff>141259</xdr:rowOff>
    </xdr:to>
    <xdr:pic>
      <xdr:nvPicPr>
        <xdr:cNvPr id="15" name="Imag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5338" y="270305"/>
          <a:ext cx="2159508" cy="90068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171450</xdr:rowOff>
    </xdr:from>
    <xdr:to>
      <xdr:col>11</xdr:col>
      <xdr:colOff>0</xdr:colOff>
      <xdr:row>6</xdr:row>
      <xdr:rowOff>0</xdr:rowOff>
    </xdr:to>
    <xdr:pic>
      <xdr:nvPicPr>
        <xdr:cNvPr id="6484" name="Picture 2" descr="LACUB-RVB200">
          <a:extLst>
            <a:ext uri="{FF2B5EF4-FFF2-40B4-BE49-F238E27FC236}">
              <a16:creationId xmlns:a16="http://schemas.microsoft.com/office/drawing/2014/main" id="{00000000-0008-0000-0200-00005419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371475"/>
          <a:ext cx="11620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32</xdr:row>
      <xdr:rowOff>0</xdr:rowOff>
    </xdr:from>
    <xdr:to>
      <xdr:col>2</xdr:col>
      <xdr:colOff>0</xdr:colOff>
      <xdr:row>45</xdr:row>
      <xdr:rowOff>0</xdr:rowOff>
    </xdr:to>
    <xdr:graphicFrame macro="">
      <xdr:nvGraphicFramePr>
        <xdr:cNvPr id="6485" name="Chart 58">
          <a:extLst>
            <a:ext uri="{FF2B5EF4-FFF2-40B4-BE49-F238E27FC236}">
              <a16:creationId xmlns:a16="http://schemas.microsoft.com/office/drawing/2014/main" id="{00000000-0008-0000-0200-0000551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809625</xdr:colOff>
      <xdr:row>5</xdr:row>
      <xdr:rowOff>95250</xdr:rowOff>
    </xdr:from>
    <xdr:to>
      <xdr:col>1</xdr:col>
      <xdr:colOff>0</xdr:colOff>
      <xdr:row>7</xdr:row>
      <xdr:rowOff>0</xdr:rowOff>
    </xdr:to>
    <xdr:pic>
      <xdr:nvPicPr>
        <xdr:cNvPr id="6486" name="Picture 186" descr="pencil">
          <a:extLst>
            <a:ext uri="{FF2B5EF4-FFF2-40B4-BE49-F238E27FC236}">
              <a16:creationId xmlns:a16="http://schemas.microsoft.com/office/drawing/2014/main" id="{00000000-0008-0000-0200-000056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0953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276225</xdr:colOff>
      <xdr:row>13</xdr:row>
      <xdr:rowOff>95250</xdr:rowOff>
    </xdr:from>
    <xdr:to>
      <xdr:col>5</xdr:col>
      <xdr:colOff>581025</xdr:colOff>
      <xdr:row>14</xdr:row>
      <xdr:rowOff>200025</xdr:rowOff>
    </xdr:to>
    <xdr:pic>
      <xdr:nvPicPr>
        <xdr:cNvPr id="6487" name="Picture 187" descr="pencil">
          <a:extLst>
            <a:ext uri="{FF2B5EF4-FFF2-40B4-BE49-F238E27FC236}">
              <a16:creationId xmlns:a16="http://schemas.microsoft.com/office/drawing/2014/main" id="{00000000-0008-0000-0200-000057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8850" y="26955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276225</xdr:colOff>
      <xdr:row>15</xdr:row>
      <xdr:rowOff>0</xdr:rowOff>
    </xdr:from>
    <xdr:to>
      <xdr:col>5</xdr:col>
      <xdr:colOff>581025</xdr:colOff>
      <xdr:row>16</xdr:row>
      <xdr:rowOff>104775</xdr:rowOff>
    </xdr:to>
    <xdr:pic>
      <xdr:nvPicPr>
        <xdr:cNvPr id="6488" name="Picture 188" descr="pencil">
          <a:extLst>
            <a:ext uri="{FF2B5EF4-FFF2-40B4-BE49-F238E27FC236}">
              <a16:creationId xmlns:a16="http://schemas.microsoft.com/office/drawing/2014/main" id="{00000000-0008-0000-0200-000058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8850" y="31527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276225</xdr:colOff>
      <xdr:row>15</xdr:row>
      <xdr:rowOff>0</xdr:rowOff>
    </xdr:from>
    <xdr:to>
      <xdr:col>5</xdr:col>
      <xdr:colOff>581025</xdr:colOff>
      <xdr:row>16</xdr:row>
      <xdr:rowOff>104775</xdr:rowOff>
    </xdr:to>
    <xdr:pic>
      <xdr:nvPicPr>
        <xdr:cNvPr id="6489" name="Picture 189" descr="pencil">
          <a:extLst>
            <a:ext uri="{FF2B5EF4-FFF2-40B4-BE49-F238E27FC236}">
              <a16:creationId xmlns:a16="http://schemas.microsoft.com/office/drawing/2014/main" id="{00000000-0008-0000-0200-000059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8850" y="31527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276225</xdr:colOff>
      <xdr:row>15</xdr:row>
      <xdr:rowOff>95250</xdr:rowOff>
    </xdr:from>
    <xdr:to>
      <xdr:col>5</xdr:col>
      <xdr:colOff>581025</xdr:colOff>
      <xdr:row>17</xdr:row>
      <xdr:rowOff>0</xdr:rowOff>
    </xdr:to>
    <xdr:pic>
      <xdr:nvPicPr>
        <xdr:cNvPr id="6490" name="Picture 190" descr="pencil">
          <a:extLst>
            <a:ext uri="{FF2B5EF4-FFF2-40B4-BE49-F238E27FC236}">
              <a16:creationId xmlns:a16="http://schemas.microsoft.com/office/drawing/2014/main" id="{00000000-0008-0000-0200-00005A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8850" y="32480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276225</xdr:colOff>
      <xdr:row>11</xdr:row>
      <xdr:rowOff>0</xdr:rowOff>
    </xdr:from>
    <xdr:to>
      <xdr:col>5</xdr:col>
      <xdr:colOff>581025</xdr:colOff>
      <xdr:row>12</xdr:row>
      <xdr:rowOff>104775</xdr:rowOff>
    </xdr:to>
    <xdr:pic>
      <xdr:nvPicPr>
        <xdr:cNvPr id="6491" name="Picture 191" descr="pencil">
          <a:extLst>
            <a:ext uri="{FF2B5EF4-FFF2-40B4-BE49-F238E27FC236}">
              <a16:creationId xmlns:a16="http://schemas.microsoft.com/office/drawing/2014/main" id="{00000000-0008-0000-0200-00005B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8850" y="22002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32</xdr:row>
      <xdr:rowOff>95250</xdr:rowOff>
    </xdr:from>
    <xdr:to>
      <xdr:col>3</xdr:col>
      <xdr:colOff>0</xdr:colOff>
      <xdr:row>34</xdr:row>
      <xdr:rowOff>0</xdr:rowOff>
    </xdr:to>
    <xdr:pic>
      <xdr:nvPicPr>
        <xdr:cNvPr id="6492" name="Picture 197" descr="pencil">
          <a:extLst>
            <a:ext uri="{FF2B5EF4-FFF2-40B4-BE49-F238E27FC236}">
              <a16:creationId xmlns:a16="http://schemas.microsoft.com/office/drawing/2014/main" id="{00000000-0008-0000-0200-00005C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5775" y="66484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36</xdr:row>
      <xdr:rowOff>95250</xdr:rowOff>
    </xdr:from>
    <xdr:to>
      <xdr:col>3</xdr:col>
      <xdr:colOff>0</xdr:colOff>
      <xdr:row>38</xdr:row>
      <xdr:rowOff>0</xdr:rowOff>
    </xdr:to>
    <xdr:pic>
      <xdr:nvPicPr>
        <xdr:cNvPr id="6493" name="Picture 198" descr="pencil">
          <a:extLst>
            <a:ext uri="{FF2B5EF4-FFF2-40B4-BE49-F238E27FC236}">
              <a16:creationId xmlns:a16="http://schemas.microsoft.com/office/drawing/2014/main" id="{00000000-0008-0000-0200-00005D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5775" y="7448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809625</xdr:colOff>
      <xdr:row>41</xdr:row>
      <xdr:rowOff>95250</xdr:rowOff>
    </xdr:from>
    <xdr:to>
      <xdr:col>3</xdr:col>
      <xdr:colOff>0</xdr:colOff>
      <xdr:row>43</xdr:row>
      <xdr:rowOff>0</xdr:rowOff>
    </xdr:to>
    <xdr:pic>
      <xdr:nvPicPr>
        <xdr:cNvPr id="6494" name="Picture 199" descr="pencil">
          <a:extLst>
            <a:ext uri="{FF2B5EF4-FFF2-40B4-BE49-F238E27FC236}">
              <a16:creationId xmlns:a16="http://schemas.microsoft.com/office/drawing/2014/main" id="{00000000-0008-0000-0200-00005E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5775" y="84486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276225</xdr:colOff>
      <xdr:row>11</xdr:row>
      <xdr:rowOff>0</xdr:rowOff>
    </xdr:from>
    <xdr:to>
      <xdr:col>5</xdr:col>
      <xdr:colOff>581025</xdr:colOff>
      <xdr:row>12</xdr:row>
      <xdr:rowOff>104775</xdr:rowOff>
    </xdr:to>
    <xdr:pic>
      <xdr:nvPicPr>
        <xdr:cNvPr id="6495" name="Picture 203" descr="pencil">
          <a:extLst>
            <a:ext uri="{FF2B5EF4-FFF2-40B4-BE49-F238E27FC236}">
              <a16:creationId xmlns:a16="http://schemas.microsoft.com/office/drawing/2014/main" id="{00000000-0008-0000-0200-00005F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8850" y="22002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276225</xdr:colOff>
      <xdr:row>11</xdr:row>
      <xdr:rowOff>0</xdr:rowOff>
    </xdr:from>
    <xdr:to>
      <xdr:col>5</xdr:col>
      <xdr:colOff>581025</xdr:colOff>
      <xdr:row>12</xdr:row>
      <xdr:rowOff>104775</xdr:rowOff>
    </xdr:to>
    <xdr:pic>
      <xdr:nvPicPr>
        <xdr:cNvPr id="6496" name="Picture 204" descr="pencil">
          <a:extLst>
            <a:ext uri="{FF2B5EF4-FFF2-40B4-BE49-F238E27FC236}">
              <a16:creationId xmlns:a16="http://schemas.microsoft.com/office/drawing/2014/main" id="{00000000-0008-0000-0200-000060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8850" y="22002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276225</xdr:colOff>
      <xdr:row>11</xdr:row>
      <xdr:rowOff>0</xdr:rowOff>
    </xdr:from>
    <xdr:to>
      <xdr:col>5</xdr:col>
      <xdr:colOff>581025</xdr:colOff>
      <xdr:row>12</xdr:row>
      <xdr:rowOff>104775</xdr:rowOff>
    </xdr:to>
    <xdr:pic>
      <xdr:nvPicPr>
        <xdr:cNvPr id="6497" name="Picture 205" descr="pencil">
          <a:extLst>
            <a:ext uri="{FF2B5EF4-FFF2-40B4-BE49-F238E27FC236}">
              <a16:creationId xmlns:a16="http://schemas.microsoft.com/office/drawing/2014/main" id="{00000000-0008-0000-0200-000061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8850" y="22002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276225</xdr:colOff>
      <xdr:row>11</xdr:row>
      <xdr:rowOff>0</xdr:rowOff>
    </xdr:from>
    <xdr:to>
      <xdr:col>5</xdr:col>
      <xdr:colOff>581025</xdr:colOff>
      <xdr:row>12</xdr:row>
      <xdr:rowOff>104775</xdr:rowOff>
    </xdr:to>
    <xdr:pic>
      <xdr:nvPicPr>
        <xdr:cNvPr id="6498" name="Picture 206" descr="pencil">
          <a:extLst>
            <a:ext uri="{FF2B5EF4-FFF2-40B4-BE49-F238E27FC236}">
              <a16:creationId xmlns:a16="http://schemas.microsoft.com/office/drawing/2014/main" id="{00000000-0008-0000-0200-000062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8850" y="22002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28575</xdr:colOff>
      <xdr:row>23</xdr:row>
      <xdr:rowOff>0</xdr:rowOff>
    </xdr:from>
    <xdr:to>
      <xdr:col>3</xdr:col>
      <xdr:colOff>333375</xdr:colOff>
      <xdr:row>24</xdr:row>
      <xdr:rowOff>104775</xdr:rowOff>
    </xdr:to>
    <xdr:pic>
      <xdr:nvPicPr>
        <xdr:cNvPr id="6499" name="Picture 212" descr="pencil">
          <a:extLst>
            <a:ext uri="{FF2B5EF4-FFF2-40B4-BE49-F238E27FC236}">
              <a16:creationId xmlns:a16="http://schemas.microsoft.com/office/drawing/2014/main" id="{00000000-0008-0000-0200-000063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0" y="47529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4"/>
  <sheetViews>
    <sheetView workbookViewId="0">
      <selection activeCell="M25" sqref="M25"/>
    </sheetView>
  </sheetViews>
  <sheetFormatPr baseColWidth="10" defaultRowHeight="12.75"/>
  <cols>
    <col min="1" max="1" width="9" bestFit="1" customWidth="1"/>
    <col min="2" max="2" width="17.85546875" bestFit="1" customWidth="1"/>
    <col min="3" max="7" width="5.140625" bestFit="1" customWidth="1"/>
    <col min="8" max="8" width="5.140625" customWidth="1"/>
    <col min="9" max="15" width="5.140625" bestFit="1" customWidth="1"/>
    <col min="16" max="16" width="5.140625" customWidth="1"/>
    <col min="17" max="17" width="5.140625" bestFit="1" customWidth="1"/>
    <col min="18" max="21" width="5.5703125" bestFit="1" customWidth="1"/>
  </cols>
  <sheetData>
    <row r="1" spans="1:21" ht="25.5">
      <c r="B1" s="5" t="s">
        <v>48</v>
      </c>
      <c r="C1" s="3">
        <f>IF(LEFT(old!D33,1)="S",1,IF(LEFT(old!D33,1)="B",2,IF(LEFT(old!D33,1)="N",3,IF(LEFT(old!D33,1)="C",4,IF(LEFT(old!D33,1)="P",5,IF(LEFT(old!D33,1)="T",6,0))))))</f>
        <v>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>
      <c r="B2" s="2"/>
      <c r="C2" s="3">
        <v>0</v>
      </c>
      <c r="D2" s="3">
        <v>1</v>
      </c>
      <c r="E2" s="3">
        <v>1</v>
      </c>
      <c r="F2" s="3">
        <v>2</v>
      </c>
      <c r="G2" s="3">
        <v>3</v>
      </c>
      <c r="H2" s="3">
        <v>3</v>
      </c>
      <c r="I2" s="3">
        <v>4</v>
      </c>
      <c r="J2" s="3">
        <v>4.5</v>
      </c>
      <c r="K2" s="3">
        <v>4.5</v>
      </c>
      <c r="L2" s="3">
        <v>6</v>
      </c>
      <c r="M2" s="3">
        <v>7.5</v>
      </c>
      <c r="N2" s="3">
        <v>7.5</v>
      </c>
      <c r="O2" s="3">
        <v>8</v>
      </c>
      <c r="P2" s="3">
        <v>9</v>
      </c>
      <c r="Q2" s="3">
        <v>9</v>
      </c>
      <c r="R2" s="3">
        <v>10</v>
      </c>
      <c r="S2" s="3">
        <v>11</v>
      </c>
      <c r="T2" s="3">
        <v>11</v>
      </c>
      <c r="U2" s="3">
        <v>12</v>
      </c>
    </row>
    <row r="3" spans="1:21">
      <c r="B3" s="2"/>
      <c r="C3" s="3">
        <v>6</v>
      </c>
      <c r="D3" s="3">
        <v>5</v>
      </c>
      <c r="E3" s="3">
        <v>5</v>
      </c>
      <c r="F3" s="3">
        <v>4</v>
      </c>
      <c r="G3" s="3">
        <v>3</v>
      </c>
      <c r="H3" s="3">
        <v>3</v>
      </c>
      <c r="I3" s="3">
        <v>2</v>
      </c>
      <c r="J3" s="3">
        <v>1</v>
      </c>
      <c r="K3" s="3">
        <v>1</v>
      </c>
      <c r="L3" s="3">
        <v>0</v>
      </c>
      <c r="M3" s="3">
        <v>1</v>
      </c>
      <c r="N3" s="3">
        <v>1</v>
      </c>
      <c r="O3" s="3">
        <v>2</v>
      </c>
      <c r="P3" s="3">
        <v>3</v>
      </c>
      <c r="Q3" s="3">
        <v>3</v>
      </c>
      <c r="R3" s="3">
        <v>4</v>
      </c>
      <c r="S3" s="3">
        <v>5</v>
      </c>
      <c r="T3" s="3">
        <v>5</v>
      </c>
      <c r="U3" s="3">
        <v>6</v>
      </c>
    </row>
    <row r="4" spans="1:21">
      <c r="A4" s="84" t="s">
        <v>49</v>
      </c>
      <c r="B4" s="1" t="s">
        <v>44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</row>
    <row r="5" spans="1:21">
      <c r="A5" s="84"/>
      <c r="B5" s="1" t="s">
        <v>36</v>
      </c>
      <c r="C5" s="4">
        <f t="shared" ref="C5:U5" si="0">-Hc</f>
        <v>-0.3</v>
      </c>
      <c r="D5" s="4">
        <f t="shared" si="0"/>
        <v>-0.3</v>
      </c>
      <c r="E5" s="4">
        <f t="shared" si="0"/>
        <v>-0.3</v>
      </c>
      <c r="F5" s="4">
        <f t="shared" si="0"/>
        <v>-0.3</v>
      </c>
      <c r="G5" s="4">
        <f t="shared" si="0"/>
        <v>-0.3</v>
      </c>
      <c r="H5" s="4">
        <f t="shared" si="0"/>
        <v>-0.3</v>
      </c>
      <c r="I5" s="4">
        <f t="shared" si="0"/>
        <v>-0.3</v>
      </c>
      <c r="J5" s="4">
        <f t="shared" si="0"/>
        <v>-0.3</v>
      </c>
      <c r="K5" s="4">
        <f t="shared" si="0"/>
        <v>-0.3</v>
      </c>
      <c r="L5" s="4">
        <f t="shared" si="0"/>
        <v>-0.3</v>
      </c>
      <c r="M5" s="4">
        <f t="shared" si="0"/>
        <v>-0.3</v>
      </c>
      <c r="N5" s="4">
        <f t="shared" si="0"/>
        <v>-0.3</v>
      </c>
      <c r="O5" s="4">
        <f t="shared" si="0"/>
        <v>-0.3</v>
      </c>
      <c r="P5" s="4">
        <f t="shared" si="0"/>
        <v>-0.3</v>
      </c>
      <c r="Q5" s="4">
        <f t="shared" si="0"/>
        <v>-0.3</v>
      </c>
      <c r="R5" s="4">
        <f t="shared" si="0"/>
        <v>-0.3</v>
      </c>
      <c r="S5" s="4">
        <f t="shared" si="0"/>
        <v>-0.3</v>
      </c>
      <c r="T5" s="4">
        <f t="shared" si="0"/>
        <v>-0.3</v>
      </c>
      <c r="U5" s="4">
        <f t="shared" si="0"/>
        <v>-0.3</v>
      </c>
    </row>
    <row r="6" spans="1:21">
      <c r="A6" s="84"/>
      <c r="B6" s="1" t="s">
        <v>64</v>
      </c>
      <c r="C6" s="3">
        <f t="shared" ref="C6:U6" si="1">-Ho-Hc</f>
        <v>-1.3</v>
      </c>
      <c r="D6" s="3">
        <f t="shared" si="1"/>
        <v>-1.3</v>
      </c>
      <c r="E6" s="3">
        <f t="shared" si="1"/>
        <v>-1.3</v>
      </c>
      <c r="F6" s="3">
        <f t="shared" si="1"/>
        <v>-1.3</v>
      </c>
      <c r="G6" s="3">
        <f t="shared" si="1"/>
        <v>-1.3</v>
      </c>
      <c r="H6" s="3">
        <f t="shared" si="1"/>
        <v>-1.3</v>
      </c>
      <c r="I6" s="3">
        <f t="shared" si="1"/>
        <v>-1.3</v>
      </c>
      <c r="J6" s="3">
        <f t="shared" si="1"/>
        <v>-1.3</v>
      </c>
      <c r="K6" s="3">
        <f t="shared" si="1"/>
        <v>-1.3</v>
      </c>
      <c r="L6" s="3">
        <f t="shared" si="1"/>
        <v>-1.3</v>
      </c>
      <c r="M6" s="3">
        <f t="shared" si="1"/>
        <v>-1.3</v>
      </c>
      <c r="N6" s="3">
        <f t="shared" si="1"/>
        <v>-1.3</v>
      </c>
      <c r="O6" s="3">
        <f t="shared" si="1"/>
        <v>-1.3</v>
      </c>
      <c r="P6" s="3">
        <f t="shared" si="1"/>
        <v>-1.3</v>
      </c>
      <c r="Q6" s="3">
        <f t="shared" si="1"/>
        <v>-1.3</v>
      </c>
      <c r="R6" s="3">
        <f t="shared" si="1"/>
        <v>-1.3</v>
      </c>
      <c r="S6" s="3">
        <f t="shared" si="1"/>
        <v>-1.3</v>
      </c>
      <c r="T6" s="3">
        <f t="shared" si="1"/>
        <v>-1.3</v>
      </c>
      <c r="U6" s="3">
        <f t="shared" si="1"/>
        <v>-1.3</v>
      </c>
    </row>
    <row r="7" spans="1:21">
      <c r="A7" s="84"/>
      <c r="B7" s="1" t="s">
        <v>58</v>
      </c>
      <c r="C7" s="3">
        <f t="shared" ref="C7:U7" si="2">-Hc-Hs</f>
        <v>-0.7</v>
      </c>
      <c r="D7" s="3">
        <f t="shared" si="2"/>
        <v>-0.7</v>
      </c>
      <c r="E7" s="3">
        <f t="shared" si="2"/>
        <v>-0.7</v>
      </c>
      <c r="F7" s="3">
        <f t="shared" si="2"/>
        <v>-0.7</v>
      </c>
      <c r="G7" s="3">
        <f t="shared" si="2"/>
        <v>-0.7</v>
      </c>
      <c r="H7" s="3">
        <f t="shared" si="2"/>
        <v>-0.7</v>
      </c>
      <c r="I7" s="3">
        <f t="shared" si="2"/>
        <v>-0.7</v>
      </c>
      <c r="J7" s="3">
        <f t="shared" si="2"/>
        <v>-0.7</v>
      </c>
      <c r="K7" s="3">
        <f t="shared" si="2"/>
        <v>-0.7</v>
      </c>
      <c r="L7" s="3">
        <f t="shared" si="2"/>
        <v>-0.7</v>
      </c>
      <c r="M7" s="3">
        <f t="shared" si="2"/>
        <v>-0.7</v>
      </c>
      <c r="N7" s="3">
        <f t="shared" si="2"/>
        <v>-0.7</v>
      </c>
      <c r="O7" s="3">
        <f t="shared" si="2"/>
        <v>-0.7</v>
      </c>
      <c r="P7" s="3">
        <f t="shared" si="2"/>
        <v>-0.7</v>
      </c>
      <c r="Q7" s="3">
        <f t="shared" si="2"/>
        <v>-0.7</v>
      </c>
      <c r="R7" s="3">
        <f t="shared" si="2"/>
        <v>-0.7</v>
      </c>
      <c r="S7" s="3">
        <f t="shared" si="2"/>
        <v>-0.7</v>
      </c>
      <c r="T7" s="3">
        <f t="shared" si="2"/>
        <v>-0.7</v>
      </c>
      <c r="U7" s="3">
        <f t="shared" si="2"/>
        <v>-0.7</v>
      </c>
    </row>
    <row r="8" spans="1:21">
      <c r="A8" s="84"/>
      <c r="B8" s="1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>
      <c r="A9" s="84"/>
      <c r="B9" s="3" t="str">
        <f>CONCATENATE("Charge max ",TEXT(Ho,"0.00"))</f>
        <v>Charge max 0.01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>
        <f>P5</f>
        <v>-0.3</v>
      </c>
      <c r="Q9" s="3">
        <f>Q6</f>
        <v>-1.3</v>
      </c>
      <c r="R9" s="3"/>
      <c r="S9" s="3"/>
      <c r="T9" s="3"/>
      <c r="U9" s="3"/>
    </row>
    <row r="10" spans="1:21">
      <c r="A10" s="84"/>
      <c r="B10" s="1" t="str">
        <f>CONCATENATE("Hs ",Hs)</f>
        <v>Hs 0,4</v>
      </c>
      <c r="C10" s="3"/>
      <c r="D10" s="3"/>
      <c r="E10" s="3"/>
      <c r="F10" s="3"/>
      <c r="G10" s="3">
        <f>G5</f>
        <v>-0.3</v>
      </c>
      <c r="H10" s="3">
        <f>H7</f>
        <v>-0.7</v>
      </c>
      <c r="I10" s="3"/>
      <c r="J10" s="3"/>
      <c r="K10" s="3"/>
      <c r="L10" s="3"/>
      <c r="M10" s="3"/>
      <c r="N10" s="3"/>
      <c r="O10" s="3"/>
      <c r="R10" s="3"/>
      <c r="S10" s="3"/>
      <c r="T10" s="3"/>
      <c r="U10" s="3"/>
    </row>
    <row r="11" spans="1:21">
      <c r="A11" s="84"/>
      <c r="B11" s="1" t="str">
        <f>CONCATENATE("Hc ",Hc)</f>
        <v>Hc 0,3</v>
      </c>
      <c r="C11" s="3"/>
      <c r="D11" s="3"/>
      <c r="E11" s="3"/>
      <c r="F11" s="3"/>
      <c r="G11" s="3">
        <f>G4</f>
        <v>0</v>
      </c>
      <c r="H11" s="3">
        <f>H5</f>
        <v>-0.3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>
      <c r="A12" s="84" t="s">
        <v>50</v>
      </c>
      <c r="B12" s="1" t="s">
        <v>37</v>
      </c>
      <c r="C12" s="3">
        <v>0</v>
      </c>
      <c r="D12" s="3">
        <v>0</v>
      </c>
      <c r="E12" s="3">
        <f>E7</f>
        <v>-0.7</v>
      </c>
      <c r="F12" s="3">
        <f t="shared" ref="F12:S12" si="3">F7</f>
        <v>-0.7</v>
      </c>
      <c r="G12" s="3">
        <f t="shared" si="3"/>
        <v>-0.7</v>
      </c>
      <c r="H12" s="3">
        <f t="shared" si="3"/>
        <v>-0.7</v>
      </c>
      <c r="I12" s="3">
        <f t="shared" si="3"/>
        <v>-0.7</v>
      </c>
      <c r="J12" s="3">
        <f t="shared" si="3"/>
        <v>-0.7</v>
      </c>
      <c r="K12" s="3">
        <f t="shared" si="3"/>
        <v>-0.7</v>
      </c>
      <c r="L12" s="3">
        <f t="shared" si="3"/>
        <v>-0.7</v>
      </c>
      <c r="M12" s="3">
        <f t="shared" si="3"/>
        <v>-0.7</v>
      </c>
      <c r="N12" s="3">
        <f t="shared" si="3"/>
        <v>-0.7</v>
      </c>
      <c r="O12" s="3">
        <f t="shared" si="3"/>
        <v>-0.7</v>
      </c>
      <c r="P12" s="3">
        <f t="shared" si="3"/>
        <v>-0.7</v>
      </c>
      <c r="Q12" s="3">
        <f t="shared" si="3"/>
        <v>-0.7</v>
      </c>
      <c r="R12" s="3">
        <f t="shared" si="3"/>
        <v>-0.7</v>
      </c>
      <c r="S12" s="3">
        <f t="shared" si="3"/>
        <v>-0.7</v>
      </c>
      <c r="T12" s="3">
        <v>0</v>
      </c>
      <c r="U12" s="3">
        <v>0</v>
      </c>
    </row>
    <row r="13" spans="1:21">
      <c r="A13" s="84"/>
      <c r="B13" s="1" t="s">
        <v>38</v>
      </c>
      <c r="C13" s="3">
        <f>C6*C2/3</f>
        <v>0</v>
      </c>
      <c r="D13" s="3">
        <f>D7*D2/3</f>
        <v>-0.23333333333333331</v>
      </c>
      <c r="E13" s="3">
        <f>E7*E2/3</f>
        <v>-0.23333333333333331</v>
      </c>
      <c r="F13" s="3">
        <f>F7*F2/3</f>
        <v>-0.46666666666666662</v>
      </c>
      <c r="G13" s="3">
        <f>G7*G2/3</f>
        <v>-0.69999999999999984</v>
      </c>
      <c r="H13" s="6">
        <f>H7*H2/3</f>
        <v>-0.69999999999999984</v>
      </c>
      <c r="I13" s="3">
        <f>I7</f>
        <v>-0.7</v>
      </c>
      <c r="J13" s="3">
        <f t="shared" ref="J13:P13" si="4">J7</f>
        <v>-0.7</v>
      </c>
      <c r="K13" s="3">
        <f t="shared" si="4"/>
        <v>-0.7</v>
      </c>
      <c r="L13" s="3">
        <f t="shared" si="4"/>
        <v>-0.7</v>
      </c>
      <c r="M13" s="3">
        <f t="shared" si="4"/>
        <v>-0.7</v>
      </c>
      <c r="N13" s="3">
        <f t="shared" si="4"/>
        <v>-0.7</v>
      </c>
      <c r="O13" s="3">
        <f t="shared" si="4"/>
        <v>-0.7</v>
      </c>
      <c r="P13" s="3">
        <f t="shared" si="4"/>
        <v>-0.7</v>
      </c>
      <c r="Q13" s="6">
        <f>Q7*-(Q2-12)/3</f>
        <v>-0.69999999999999984</v>
      </c>
      <c r="R13" s="6">
        <f>R7*-(R2-12)/3</f>
        <v>-0.46666666666666662</v>
      </c>
      <c r="S13" s="6">
        <f>S7*-(S2-12)/3</f>
        <v>-0.23333333333333331</v>
      </c>
      <c r="T13" s="6">
        <f>T7*-(T2-12)/3</f>
        <v>-0.23333333333333331</v>
      </c>
      <c r="U13" s="3">
        <f>U6*-(U2-12)/3</f>
        <v>0</v>
      </c>
    </row>
    <row r="14" spans="1:21">
      <c r="A14" s="84"/>
      <c r="B14" s="1" t="s">
        <v>39</v>
      </c>
      <c r="C14" s="3">
        <f>C6*C2/6</f>
        <v>0</v>
      </c>
      <c r="D14" s="3">
        <f>D7*D2/6</f>
        <v>-0.11666666666666665</v>
      </c>
      <c r="E14" s="3">
        <f t="shared" ref="E14:L14" si="5">E7*E2/6</f>
        <v>-0.11666666666666665</v>
      </c>
      <c r="F14" s="3">
        <f t="shared" si="5"/>
        <v>-0.23333333333333331</v>
      </c>
      <c r="G14" s="3">
        <f t="shared" si="5"/>
        <v>-0.34999999999999992</v>
      </c>
      <c r="H14" s="3">
        <f t="shared" si="5"/>
        <v>-0.34999999999999992</v>
      </c>
      <c r="I14" s="3">
        <f t="shared" si="5"/>
        <v>-0.46666666666666662</v>
      </c>
      <c r="J14" s="3">
        <f t="shared" si="5"/>
        <v>-0.52500000000000002</v>
      </c>
      <c r="K14" s="3">
        <f t="shared" si="5"/>
        <v>-0.52500000000000002</v>
      </c>
      <c r="L14" s="3">
        <f t="shared" si="5"/>
        <v>-0.69999999999999984</v>
      </c>
      <c r="M14" s="3">
        <f>M7*-(M2-12)/6</f>
        <v>-0.52500000000000002</v>
      </c>
      <c r="N14" s="3">
        <f t="shared" ref="N14:T14" si="6">N7*-(N2-12)/6</f>
        <v>-0.52500000000000002</v>
      </c>
      <c r="O14" s="3">
        <f t="shared" si="6"/>
        <v>-0.46666666666666662</v>
      </c>
      <c r="P14" s="3">
        <f t="shared" si="6"/>
        <v>-0.34999999999999992</v>
      </c>
      <c r="Q14" s="3">
        <f t="shared" si="6"/>
        <v>-0.34999999999999992</v>
      </c>
      <c r="R14" s="3">
        <f t="shared" si="6"/>
        <v>-0.23333333333333331</v>
      </c>
      <c r="S14" s="3">
        <f t="shared" si="6"/>
        <v>-0.11666666666666665</v>
      </c>
      <c r="T14" s="3">
        <f t="shared" si="6"/>
        <v>-0.11666666666666665</v>
      </c>
      <c r="U14" s="3">
        <f>U6*-(U2-12)/6</f>
        <v>0</v>
      </c>
    </row>
    <row r="15" spans="1:21">
      <c r="A15" s="84"/>
      <c r="B15" s="1" t="s">
        <v>40</v>
      </c>
      <c r="C15" s="3"/>
      <c r="D15" s="3"/>
      <c r="E15" s="3"/>
      <c r="F15" s="3">
        <f>F7</f>
        <v>-0.7</v>
      </c>
      <c r="G15" s="3">
        <f>G7</f>
        <v>-0.7</v>
      </c>
      <c r="H15" s="3">
        <f>H7</f>
        <v>-0.7</v>
      </c>
      <c r="I15" s="3">
        <f t="shared" ref="I15:R15" si="7">I7</f>
        <v>-0.7</v>
      </c>
      <c r="J15" s="3">
        <f t="shared" si="7"/>
        <v>-0.7</v>
      </c>
      <c r="K15" s="3">
        <f t="shared" si="7"/>
        <v>-0.7</v>
      </c>
      <c r="L15" s="3">
        <f t="shared" si="7"/>
        <v>-0.7</v>
      </c>
      <c r="M15" s="3">
        <f t="shared" si="7"/>
        <v>-0.7</v>
      </c>
      <c r="N15" s="3">
        <f t="shared" si="7"/>
        <v>-0.7</v>
      </c>
      <c r="O15" s="3">
        <f t="shared" si="7"/>
        <v>-0.7</v>
      </c>
      <c r="P15" s="3">
        <f t="shared" si="7"/>
        <v>-0.7</v>
      </c>
      <c r="Q15" s="3">
        <f t="shared" si="7"/>
        <v>-0.7</v>
      </c>
      <c r="R15" s="3">
        <f t="shared" si="7"/>
        <v>-0.7</v>
      </c>
      <c r="S15" s="3"/>
      <c r="T15" s="3"/>
      <c r="U15" s="3"/>
    </row>
    <row r="16" spans="1:21">
      <c r="A16" s="84"/>
      <c r="B16" s="1" t="s">
        <v>41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f>K6</f>
        <v>-1.3</v>
      </c>
      <c r="L16" s="3">
        <f>L6</f>
        <v>-1.3</v>
      </c>
      <c r="M16" s="3">
        <f>M6</f>
        <v>-1.3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</row>
    <row r="17" spans="1:21">
      <c r="A17" s="18"/>
      <c r="B17" s="1" t="s">
        <v>94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f>K12</f>
        <v>-0.7</v>
      </c>
      <c r="L17" s="3">
        <f>L12</f>
        <v>-0.7</v>
      </c>
      <c r="M17" s="3">
        <f>M12</f>
        <v>-0.7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</row>
    <row r="18" spans="1:21">
      <c r="B18" s="1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>
      <c r="A19" s="85" t="s">
        <v>51</v>
      </c>
      <c r="B19" s="85"/>
      <c r="C19" s="3">
        <f>IF($C$1=1,C12,IF($C$1=2,C13,IF($C$1=3,C14,IF(OR($C$1=4,$C$1=5),IF(C15=0,NA(),C15),IF($C$1=6,C17,1)))))</f>
        <v>0</v>
      </c>
      <c r="D19" s="3">
        <f t="shared" ref="D19:U19" si="8">IF($C$1=1,D12,IF($C$1=2,D13,IF($C$1=3,D14,IF(OR($C$1=4,$C$1=5),IF(D15=0,NA(),D15),IF($C$1=6,D17,1)))))</f>
        <v>-0.23333333333333331</v>
      </c>
      <c r="E19" s="3">
        <f t="shared" si="8"/>
        <v>-0.23333333333333331</v>
      </c>
      <c r="F19" s="3">
        <f t="shared" si="8"/>
        <v>-0.46666666666666662</v>
      </c>
      <c r="G19" s="3">
        <f t="shared" si="8"/>
        <v>-0.69999999999999984</v>
      </c>
      <c r="H19" s="3">
        <f t="shared" si="8"/>
        <v>-0.69999999999999984</v>
      </c>
      <c r="I19" s="3">
        <f t="shared" si="8"/>
        <v>-0.7</v>
      </c>
      <c r="J19" s="3">
        <f t="shared" si="8"/>
        <v>-0.7</v>
      </c>
      <c r="K19" s="3">
        <f t="shared" si="8"/>
        <v>-0.7</v>
      </c>
      <c r="L19" s="3">
        <f t="shared" si="8"/>
        <v>-0.7</v>
      </c>
      <c r="M19" s="3">
        <f t="shared" si="8"/>
        <v>-0.7</v>
      </c>
      <c r="N19" s="3">
        <f t="shared" si="8"/>
        <v>-0.7</v>
      </c>
      <c r="O19" s="3">
        <f t="shared" si="8"/>
        <v>-0.7</v>
      </c>
      <c r="P19" s="3">
        <f t="shared" si="8"/>
        <v>-0.7</v>
      </c>
      <c r="Q19" s="3">
        <f t="shared" si="8"/>
        <v>-0.69999999999999984</v>
      </c>
      <c r="R19" s="3">
        <f t="shared" si="8"/>
        <v>-0.46666666666666662</v>
      </c>
      <c r="S19" s="3">
        <f t="shared" si="8"/>
        <v>-0.23333333333333331</v>
      </c>
      <c r="T19" s="3">
        <f t="shared" si="8"/>
        <v>-0.23333333333333331</v>
      </c>
      <c r="U19" s="3">
        <f t="shared" si="8"/>
        <v>0</v>
      </c>
    </row>
    <row r="20" spans="1:21">
      <c r="B20" s="1"/>
      <c r="C20" s="3" t="e">
        <f t="shared" ref="C20:U20" si="9">IF($C$1=4,C19+Hs,NA())</f>
        <v>#N/A</v>
      </c>
      <c r="D20" s="3" t="e">
        <f t="shared" si="9"/>
        <v>#N/A</v>
      </c>
      <c r="E20" s="3" t="e">
        <f t="shared" si="9"/>
        <v>#N/A</v>
      </c>
      <c r="F20" s="3" t="e">
        <f t="shared" si="9"/>
        <v>#N/A</v>
      </c>
      <c r="G20" s="3" t="e">
        <f t="shared" si="9"/>
        <v>#N/A</v>
      </c>
      <c r="H20" s="3" t="e">
        <f t="shared" si="9"/>
        <v>#N/A</v>
      </c>
      <c r="I20" s="3" t="e">
        <f t="shared" si="9"/>
        <v>#N/A</v>
      </c>
      <c r="J20" s="3" t="e">
        <f t="shared" si="9"/>
        <v>#N/A</v>
      </c>
      <c r="K20" s="3" t="e">
        <f t="shared" si="9"/>
        <v>#N/A</v>
      </c>
      <c r="L20" s="3" t="e">
        <f t="shared" si="9"/>
        <v>#N/A</v>
      </c>
      <c r="M20" s="3" t="e">
        <f t="shared" si="9"/>
        <v>#N/A</v>
      </c>
      <c r="N20" s="3" t="e">
        <f t="shared" si="9"/>
        <v>#N/A</v>
      </c>
      <c r="O20" s="3" t="e">
        <f t="shared" si="9"/>
        <v>#N/A</v>
      </c>
      <c r="P20" s="3" t="e">
        <f t="shared" si="9"/>
        <v>#N/A</v>
      </c>
      <c r="Q20" s="3" t="e">
        <f t="shared" si="9"/>
        <v>#N/A</v>
      </c>
      <c r="R20" s="3" t="e">
        <f t="shared" si="9"/>
        <v>#N/A</v>
      </c>
      <c r="S20" s="3" t="e">
        <f t="shared" si="9"/>
        <v>#N/A</v>
      </c>
      <c r="T20" s="3" t="e">
        <f t="shared" si="9"/>
        <v>#N/A</v>
      </c>
      <c r="U20" s="3" t="e">
        <f t="shared" si="9"/>
        <v>#N/A</v>
      </c>
    </row>
    <row r="21" spans="1:21">
      <c r="B21" s="1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>
      <c r="B22" s="1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>
      <c r="B23" s="1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>
      <c r="B24" s="1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</sheetData>
  <sheetProtection password="CD6C" sheet="1" objects="1" scenarios="1"/>
  <mergeCells count="3">
    <mergeCell ref="A4:A11"/>
    <mergeCell ref="A12:A16"/>
    <mergeCell ref="A19:B19"/>
  </mergeCells>
  <phoneticPr fontId="1" type="noConversion"/>
  <pageMargins left="0.78740157499999996" right="0.78740157499999996" top="0.984251969" bottom="0.984251969" header="0.4921259845" footer="0.492125984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3">
    <pageSetUpPr fitToPage="1"/>
  </sheetPr>
  <dimension ref="A1:U57"/>
  <sheetViews>
    <sheetView showGridLines="0" tabSelected="1" zoomScale="74" zoomScaleNormal="74" workbookViewId="0">
      <selection activeCell="G37" sqref="G37:I38"/>
    </sheetView>
  </sheetViews>
  <sheetFormatPr baseColWidth="10" defaultRowHeight="26.1" customHeight="1"/>
  <cols>
    <col min="1" max="1" width="16.7109375" style="31" customWidth="1"/>
    <col min="2" max="2" width="35.5703125" style="31" bestFit="1" customWidth="1"/>
    <col min="3" max="3" width="16.7109375" style="31" customWidth="1"/>
    <col min="4" max="5" width="8.7109375" style="31" customWidth="1"/>
    <col min="6" max="6" width="10.85546875" style="68" customWidth="1"/>
    <col min="7" max="7" width="8.7109375" style="31" customWidth="1"/>
    <col min="8" max="8" width="9.85546875" style="31" customWidth="1"/>
    <col min="9" max="9" width="8.7109375" style="68" customWidth="1"/>
    <col min="10" max="11" width="8.7109375" style="31" customWidth="1"/>
    <col min="12" max="12" width="8.7109375" style="69" customWidth="1"/>
    <col min="13" max="13" width="10.42578125" style="29" customWidth="1"/>
    <col min="14" max="14" width="34.28515625" style="30" hidden="1" customWidth="1"/>
    <col min="15" max="15" width="9.7109375" style="39" hidden="1" customWidth="1"/>
    <col min="16" max="16" width="11.140625" style="30" hidden="1" customWidth="1"/>
    <col min="17" max="17" width="9.7109375" style="31" hidden="1" customWidth="1"/>
    <col min="18" max="21" width="9.7109375" style="31" customWidth="1"/>
    <col min="22" max="16384" width="11.42578125" style="31"/>
  </cols>
  <sheetData>
    <row r="1" spans="1:21" ht="15.95" customHeight="1">
      <c r="A1" s="136" t="s">
        <v>29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8"/>
      <c r="N1" s="130" t="s">
        <v>63</v>
      </c>
      <c r="O1" s="131"/>
    </row>
    <row r="2" spans="1:21" ht="15.95" customHeight="1">
      <c r="A2" s="139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1"/>
      <c r="N2" s="131"/>
      <c r="O2" s="131"/>
    </row>
    <row r="3" spans="1:21" ht="15.95" customHeight="1">
      <c r="A3" s="139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1"/>
      <c r="N3" s="131"/>
      <c r="O3" s="131"/>
    </row>
    <row r="4" spans="1:21" s="35" customFormat="1" ht="15.95" customHeight="1">
      <c r="A4" s="72" t="s">
        <v>54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4"/>
      <c r="N4" s="169" t="s">
        <v>89</v>
      </c>
      <c r="O4" s="170"/>
      <c r="P4" s="170"/>
      <c r="Q4" s="31"/>
      <c r="R4" s="31"/>
      <c r="S4" s="31"/>
      <c r="T4" s="31"/>
      <c r="U4" s="31"/>
    </row>
    <row r="5" spans="1:21" ht="15.95" customHeight="1">
      <c r="A5" s="36"/>
      <c r="B5" s="37"/>
      <c r="C5" s="37"/>
      <c r="D5" s="37"/>
      <c r="E5" s="37"/>
      <c r="F5" s="37"/>
      <c r="G5" s="37"/>
      <c r="H5" s="37"/>
      <c r="I5" s="37"/>
      <c r="J5" s="37"/>
      <c r="K5" s="37"/>
      <c r="L5" s="38"/>
      <c r="N5" s="170"/>
      <c r="O5" s="170"/>
      <c r="P5" s="170"/>
    </row>
    <row r="6" spans="1:21" ht="15.95" customHeight="1">
      <c r="A6" s="152" t="s">
        <v>90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4"/>
      <c r="N6" s="170"/>
      <c r="O6" s="170"/>
      <c r="P6" s="170"/>
    </row>
    <row r="7" spans="1:21" ht="15.95" customHeight="1">
      <c r="A7" s="152"/>
      <c r="B7" s="142" t="s">
        <v>42</v>
      </c>
      <c r="C7" s="142"/>
      <c r="D7" s="142"/>
      <c r="E7" s="142"/>
      <c r="F7" s="142"/>
      <c r="G7" s="142"/>
      <c r="H7" s="142"/>
      <c r="I7" s="142"/>
      <c r="J7" s="142"/>
      <c r="K7" s="142"/>
      <c r="L7" s="143"/>
    </row>
    <row r="8" spans="1:21" ht="15.95" customHeight="1">
      <c r="A8" s="232" t="s">
        <v>30</v>
      </c>
      <c r="B8" s="233"/>
      <c r="C8" s="233"/>
      <c r="D8" s="233"/>
      <c r="E8" s="233"/>
      <c r="F8" s="233"/>
      <c r="G8" s="233"/>
      <c r="H8" s="233"/>
      <c r="I8" s="233"/>
      <c r="J8" s="233"/>
      <c r="K8" s="233"/>
      <c r="L8" s="234"/>
      <c r="N8" s="30" t="s">
        <v>69</v>
      </c>
      <c r="O8" s="39">
        <v>0.3</v>
      </c>
    </row>
    <row r="9" spans="1:21" s="42" customFormat="1" ht="15.95" customHeight="1" thickBot="1">
      <c r="A9" s="75" t="s">
        <v>7</v>
      </c>
      <c r="B9" s="76" t="s">
        <v>5</v>
      </c>
      <c r="C9" s="155" t="s">
        <v>11</v>
      </c>
      <c r="D9" s="155"/>
      <c r="E9" s="155"/>
      <c r="F9" s="155"/>
      <c r="G9" s="155" t="s">
        <v>6</v>
      </c>
      <c r="H9" s="155"/>
      <c r="I9" s="155"/>
      <c r="J9" s="155" t="s">
        <v>10</v>
      </c>
      <c r="K9" s="155"/>
      <c r="L9" s="166"/>
      <c r="N9" s="30" t="s">
        <v>70</v>
      </c>
      <c r="O9" s="39">
        <v>3</v>
      </c>
      <c r="P9" s="30"/>
      <c r="R9" s="43"/>
      <c r="S9" s="31"/>
      <c r="T9" s="31"/>
      <c r="U9" s="31"/>
    </row>
    <row r="10" spans="1:21" s="43" customFormat="1" ht="15.95" customHeight="1">
      <c r="A10" s="224">
        <f ca="1">NOW()</f>
        <v>44081.399180324071</v>
      </c>
      <c r="B10" s="167" t="s">
        <v>47</v>
      </c>
      <c r="C10" s="226" t="s">
        <v>45</v>
      </c>
      <c r="D10" s="227"/>
      <c r="E10" s="227"/>
      <c r="F10" s="228"/>
      <c r="G10" s="156" t="s">
        <v>28</v>
      </c>
      <c r="H10" s="156"/>
      <c r="I10" s="157"/>
      <c r="J10" s="160" t="s">
        <v>120</v>
      </c>
      <c r="K10" s="161"/>
      <c r="L10" s="162"/>
      <c r="N10" s="30"/>
      <c r="O10" s="39"/>
      <c r="P10" s="30"/>
    </row>
    <row r="11" spans="1:21" s="43" customFormat="1" ht="15.95" customHeight="1" thickBot="1">
      <c r="A11" s="225"/>
      <c r="B11" s="168"/>
      <c r="C11" s="229" t="s">
        <v>46</v>
      </c>
      <c r="D11" s="230"/>
      <c r="E11" s="230"/>
      <c r="F11" s="231"/>
      <c r="G11" s="158"/>
      <c r="H11" s="158"/>
      <c r="I11" s="159"/>
      <c r="J11" s="163"/>
      <c r="K11" s="164"/>
      <c r="L11" s="165"/>
      <c r="N11" s="30" t="s">
        <v>71</v>
      </c>
      <c r="O11" s="39">
        <v>30</v>
      </c>
      <c r="P11" s="30"/>
    </row>
    <row r="12" spans="1:21" ht="15.95" customHeight="1">
      <c r="A12" s="144" t="s">
        <v>55</v>
      </c>
      <c r="B12" s="145"/>
      <c r="C12" s="145"/>
      <c r="D12" s="127" t="s">
        <v>20</v>
      </c>
      <c r="E12" s="127"/>
      <c r="F12" s="127"/>
      <c r="G12" s="127" t="s">
        <v>19</v>
      </c>
      <c r="H12" s="127"/>
      <c r="I12" s="127"/>
      <c r="J12" s="127" t="s">
        <v>18</v>
      </c>
      <c r="K12" s="127"/>
      <c r="L12" s="133"/>
      <c r="O12" s="30"/>
      <c r="P12" s="30" t="s">
        <v>120</v>
      </c>
    </row>
    <row r="13" spans="1:21" ht="15.95" customHeight="1" thickBot="1">
      <c r="A13" s="146"/>
      <c r="B13" s="147"/>
      <c r="C13" s="147"/>
      <c r="D13" s="86" t="s">
        <v>31</v>
      </c>
      <c r="E13" s="86"/>
      <c r="F13" s="86"/>
      <c r="G13" s="86" t="s">
        <v>32</v>
      </c>
      <c r="H13" s="86"/>
      <c r="I13" s="86"/>
      <c r="J13" s="86" t="s">
        <v>33</v>
      </c>
      <c r="K13" s="86"/>
      <c r="L13" s="87"/>
      <c r="O13" s="30"/>
      <c r="P13" s="30" t="s">
        <v>121</v>
      </c>
    </row>
    <row r="14" spans="1:21" ht="15.95" customHeight="1" thickBot="1">
      <c r="A14" s="202" t="s">
        <v>88</v>
      </c>
      <c r="B14" s="148" t="s">
        <v>117</v>
      </c>
      <c r="C14" s="148"/>
      <c r="D14" s="150">
        <v>0.9</v>
      </c>
      <c r="E14" s="150"/>
      <c r="F14" s="213"/>
      <c r="G14" s="100">
        <v>100</v>
      </c>
      <c r="H14" s="101"/>
      <c r="I14" s="212" t="s">
        <v>0</v>
      </c>
      <c r="J14" s="209">
        <f>G14*D14</f>
        <v>90</v>
      </c>
      <c r="K14" s="209"/>
      <c r="L14" s="94" t="s">
        <v>0</v>
      </c>
      <c r="P14" s="30" t="s">
        <v>122</v>
      </c>
    </row>
    <row r="15" spans="1:21" ht="27.75" customHeight="1" thickBot="1">
      <c r="A15" s="203"/>
      <c r="B15" s="149"/>
      <c r="C15" s="149"/>
      <c r="D15" s="151"/>
      <c r="E15" s="151"/>
      <c r="F15" s="207"/>
      <c r="G15" s="100"/>
      <c r="H15" s="101"/>
      <c r="I15" s="212"/>
      <c r="J15" s="214"/>
      <c r="K15" s="214"/>
      <c r="L15" s="135"/>
      <c r="P15" s="30" t="s">
        <v>123</v>
      </c>
    </row>
    <row r="16" spans="1:21" ht="15.95" customHeight="1" thickBot="1">
      <c r="A16" s="203"/>
      <c r="B16" s="88" t="s">
        <v>104</v>
      </c>
      <c r="C16" s="88"/>
      <c r="D16" s="239">
        <v>0.2</v>
      </c>
      <c r="E16" s="239"/>
      <c r="F16" s="206"/>
      <c r="G16" s="100">
        <v>100</v>
      </c>
      <c r="H16" s="101"/>
      <c r="I16" s="212" t="s">
        <v>0</v>
      </c>
      <c r="J16" s="210">
        <f>G16*D16</f>
        <v>20</v>
      </c>
      <c r="K16" s="210"/>
      <c r="L16" s="132" t="s">
        <v>0</v>
      </c>
      <c r="P16" s="30" t="s">
        <v>124</v>
      </c>
    </row>
    <row r="17" spans="1:16" ht="15.95" customHeight="1" thickBot="1">
      <c r="A17" s="203"/>
      <c r="B17" s="89"/>
      <c r="C17" s="89"/>
      <c r="D17" s="151"/>
      <c r="E17" s="151"/>
      <c r="F17" s="207"/>
      <c r="G17" s="100"/>
      <c r="H17" s="101"/>
      <c r="I17" s="212"/>
      <c r="J17" s="214"/>
      <c r="K17" s="214"/>
      <c r="L17" s="135"/>
      <c r="P17" s="30" t="s">
        <v>125</v>
      </c>
    </row>
    <row r="18" spans="1:16" ht="15.95" customHeight="1" thickBot="1">
      <c r="A18" s="203"/>
      <c r="B18" s="90" t="s">
        <v>15</v>
      </c>
      <c r="C18" s="90"/>
      <c r="D18" s="239">
        <v>0</v>
      </c>
      <c r="E18" s="239"/>
      <c r="F18" s="77"/>
      <c r="G18" s="248">
        <v>100</v>
      </c>
      <c r="H18" s="249"/>
      <c r="I18" s="212" t="s">
        <v>0</v>
      </c>
      <c r="J18" s="210">
        <f>G18*D18</f>
        <v>0</v>
      </c>
      <c r="K18" s="210"/>
      <c r="L18" s="132" t="s">
        <v>0</v>
      </c>
      <c r="P18" s="30" t="s">
        <v>126</v>
      </c>
    </row>
    <row r="19" spans="1:16" ht="27" customHeight="1" thickBot="1">
      <c r="A19" s="204"/>
      <c r="B19" s="91"/>
      <c r="C19" s="91"/>
      <c r="D19" s="240"/>
      <c r="E19" s="240"/>
      <c r="F19" s="78"/>
      <c r="G19" s="250"/>
      <c r="H19" s="251"/>
      <c r="I19" s="212"/>
      <c r="J19" s="211"/>
      <c r="K19" s="211"/>
      <c r="L19" s="95"/>
      <c r="P19" s="30" t="s">
        <v>127</v>
      </c>
    </row>
    <row r="20" spans="1:16" ht="15.95" customHeight="1">
      <c r="A20" s="202" t="s">
        <v>93</v>
      </c>
      <c r="B20" s="194"/>
      <c r="C20" s="194"/>
      <c r="D20" s="245" t="s">
        <v>22</v>
      </c>
      <c r="E20" s="127"/>
      <c r="F20" s="127"/>
      <c r="G20" s="127" t="s">
        <v>23</v>
      </c>
      <c r="H20" s="127"/>
      <c r="I20" s="127"/>
      <c r="J20" s="127" t="s">
        <v>24</v>
      </c>
      <c r="K20" s="127"/>
      <c r="L20" s="133"/>
      <c r="P20" s="30" t="s">
        <v>128</v>
      </c>
    </row>
    <row r="21" spans="1:16" ht="15.95" customHeight="1">
      <c r="A21" s="203"/>
      <c r="B21" s="102"/>
      <c r="C21" s="102"/>
      <c r="D21" s="246"/>
      <c r="E21" s="129"/>
      <c r="F21" s="129"/>
      <c r="G21" s="129"/>
      <c r="H21" s="129"/>
      <c r="I21" s="129"/>
      <c r="J21" s="129"/>
      <c r="K21" s="129"/>
      <c r="L21" s="134"/>
      <c r="P21" s="30" t="s">
        <v>129</v>
      </c>
    </row>
    <row r="22" spans="1:16" ht="15.95" customHeight="1" thickBot="1">
      <c r="A22" s="203"/>
      <c r="B22" s="102"/>
      <c r="C22" s="102"/>
      <c r="D22" s="252" t="s">
        <v>25</v>
      </c>
      <c r="E22" s="86"/>
      <c r="F22" s="86"/>
      <c r="G22" s="86" t="s">
        <v>34</v>
      </c>
      <c r="H22" s="86"/>
      <c r="I22" s="86"/>
      <c r="J22" s="86" t="s">
        <v>35</v>
      </c>
      <c r="K22" s="86"/>
      <c r="L22" s="87"/>
      <c r="P22" s="30" t="s">
        <v>130</v>
      </c>
    </row>
    <row r="23" spans="1:16" ht="15.95" customHeight="1" thickBot="1">
      <c r="A23" s="204"/>
      <c r="B23" s="205"/>
      <c r="C23" s="205"/>
      <c r="D23" s="92">
        <f>Sap/G23</f>
        <v>0.36666666666666664</v>
      </c>
      <c r="E23" s="93"/>
      <c r="F23" s="79"/>
      <c r="G23" s="222">
        <f>SUM(G14:H19)</f>
        <v>300</v>
      </c>
      <c r="H23" s="223"/>
      <c r="I23" s="80" t="s">
        <v>0</v>
      </c>
      <c r="J23" s="208">
        <f>SUM(J14:K19)</f>
        <v>110</v>
      </c>
      <c r="K23" s="209"/>
      <c r="L23" s="81" t="s">
        <v>0</v>
      </c>
      <c r="P23" s="30" t="s">
        <v>131</v>
      </c>
    </row>
    <row r="24" spans="1:16" ht="15.95" customHeight="1" thickBot="1">
      <c r="A24" s="217" t="s">
        <v>12</v>
      </c>
      <c r="B24" s="218"/>
      <c r="C24" s="218"/>
      <c r="D24" s="218"/>
      <c r="E24" s="218"/>
      <c r="F24" s="218"/>
      <c r="G24" s="218"/>
      <c r="H24" s="218"/>
      <c r="I24" s="218"/>
      <c r="J24" s="218"/>
      <c r="K24" s="218"/>
      <c r="L24" s="253"/>
      <c r="O24" s="30"/>
      <c r="P24" s="30" t="s">
        <v>132</v>
      </c>
    </row>
    <row r="25" spans="1:16" ht="15.95" customHeight="1">
      <c r="A25" s="243" t="s">
        <v>43</v>
      </c>
      <c r="B25" s="244"/>
      <c r="C25" s="244"/>
      <c r="D25" s="258"/>
      <c r="E25" s="258"/>
      <c r="F25" s="258"/>
      <c r="G25" s="258"/>
      <c r="H25" s="258"/>
      <c r="I25" s="258"/>
      <c r="J25" s="215" t="s">
        <v>1</v>
      </c>
      <c r="K25" s="215"/>
      <c r="L25" s="81"/>
      <c r="O25" s="30"/>
      <c r="P25" s="30" t="s">
        <v>133</v>
      </c>
    </row>
    <row r="26" spans="1:16" ht="15.95" customHeight="1" thickBot="1">
      <c r="A26" s="243"/>
      <c r="B26" s="244"/>
      <c r="C26" s="244"/>
      <c r="D26" s="259"/>
      <c r="E26" s="259"/>
      <c r="F26" s="259"/>
      <c r="G26" s="259"/>
      <c r="H26" s="259"/>
      <c r="I26" s="259"/>
      <c r="J26" s="216"/>
      <c r="K26" s="216"/>
      <c r="L26" s="82"/>
      <c r="P26" s="30" t="s">
        <v>134</v>
      </c>
    </row>
    <row r="27" spans="1:16" ht="15.75" customHeight="1" thickBot="1">
      <c r="A27" s="217" t="s">
        <v>17</v>
      </c>
      <c r="B27" s="218"/>
      <c r="C27" s="218"/>
      <c r="D27" s="219"/>
      <c r="E27" s="220"/>
      <c r="F27" s="220"/>
      <c r="G27" s="220"/>
      <c r="H27" s="220"/>
      <c r="I27" s="220"/>
      <c r="J27" s="220"/>
      <c r="K27" s="220"/>
      <c r="L27" s="221"/>
      <c r="P27" s="30" t="s">
        <v>135</v>
      </c>
    </row>
    <row r="28" spans="1:16" ht="0.75" customHeight="1" thickBot="1">
      <c r="A28" s="50" t="s">
        <v>97</v>
      </c>
      <c r="B28" s="51"/>
      <c r="C28" s="51"/>
      <c r="D28" s="19">
        <v>1</v>
      </c>
      <c r="E28" s="19"/>
      <c r="F28" s="19"/>
      <c r="G28" s="19"/>
      <c r="H28" s="19"/>
      <c r="I28" s="19"/>
      <c r="J28" s="52"/>
      <c r="K28" s="52"/>
      <c r="L28" s="53"/>
      <c r="N28" s="30" t="s">
        <v>68</v>
      </c>
      <c r="O28" s="39">
        <v>3</v>
      </c>
      <c r="P28" s="30" t="s">
        <v>136</v>
      </c>
    </row>
    <row r="29" spans="1:16" ht="15.75" hidden="1" customHeight="1" thickBot="1">
      <c r="A29" s="50" t="s">
        <v>96</v>
      </c>
      <c r="B29" s="51"/>
      <c r="C29" s="51"/>
      <c r="D29" s="247">
        <f>3*Sa/10000</f>
        <v>3.3000000000000002E-2</v>
      </c>
      <c r="E29" s="247"/>
      <c r="F29" s="247"/>
      <c r="G29" s="247"/>
      <c r="H29" s="247"/>
      <c r="I29" s="247"/>
      <c r="J29" s="52"/>
      <c r="K29" s="52"/>
      <c r="L29" s="53"/>
      <c r="N29" s="30" t="s">
        <v>67</v>
      </c>
      <c r="O29" s="39" t="e">
        <f>IF(MID(#REF!,9,1)="g",O28/qf,1)</f>
        <v>#REF!</v>
      </c>
      <c r="P29" s="30" t="s">
        <v>137</v>
      </c>
    </row>
    <row r="30" spans="1:16" ht="15.95" customHeight="1">
      <c r="A30" s="254" t="s">
        <v>119</v>
      </c>
      <c r="B30" s="255"/>
      <c r="C30" s="255"/>
      <c r="D30" s="198">
        <f>500*Sa/10000</f>
        <v>5.5</v>
      </c>
      <c r="E30" s="199"/>
      <c r="F30" s="108" t="s">
        <v>2</v>
      </c>
      <c r="G30" s="260"/>
      <c r="H30" s="261"/>
      <c r="I30" s="108"/>
      <c r="J30" s="96"/>
      <c r="K30" s="98">
        <f>ROUND(D28*IF(D29&lt;0.3,0.3,D29),1)</f>
        <v>0.3</v>
      </c>
      <c r="L30" s="94" t="s">
        <v>56</v>
      </c>
      <c r="O30" s="39" t="e">
        <f>IF(O28&gt;30,30/qf,Cq)</f>
        <v>#REF!</v>
      </c>
      <c r="P30" s="30" t="s">
        <v>138</v>
      </c>
    </row>
    <row r="31" spans="1:16" ht="15.75" customHeight="1" thickBot="1">
      <c r="A31" s="256"/>
      <c r="B31" s="257"/>
      <c r="C31" s="257"/>
      <c r="D31" s="200"/>
      <c r="E31" s="201"/>
      <c r="F31" s="109"/>
      <c r="G31" s="262"/>
      <c r="H31" s="263"/>
      <c r="I31" s="109"/>
      <c r="J31" s="97"/>
      <c r="K31" s="99"/>
      <c r="L31" s="95"/>
      <c r="N31" s="30" t="s">
        <v>73</v>
      </c>
      <c r="O31" s="54" t="e">
        <f>IF(Vu=0,"",qf*cqmax*Sa/10000)</f>
        <v>#REF!</v>
      </c>
      <c r="P31" s="30" t="s">
        <v>139</v>
      </c>
    </row>
    <row r="32" spans="1:16" ht="15.75" customHeight="1" thickBot="1">
      <c r="A32" s="217" t="s">
        <v>72</v>
      </c>
      <c r="B32" s="218"/>
      <c r="C32" s="218"/>
      <c r="D32" s="218"/>
      <c r="E32" s="218"/>
      <c r="F32" s="218"/>
      <c r="G32" s="218"/>
      <c r="H32" s="218"/>
      <c r="I32" s="218"/>
      <c r="J32" s="218"/>
      <c r="K32" s="241"/>
      <c r="L32" s="242"/>
      <c r="O32" s="54"/>
      <c r="P32" s="30" t="s">
        <v>140</v>
      </c>
    </row>
    <row r="33" spans="1:18" ht="15.75" customHeight="1">
      <c r="A33" s="121"/>
      <c r="B33" s="122"/>
      <c r="C33" s="194" t="s">
        <v>52</v>
      </c>
      <c r="D33" s="235" t="s">
        <v>103</v>
      </c>
      <c r="E33" s="235"/>
      <c r="F33" s="235"/>
      <c r="G33" s="235"/>
      <c r="H33" s="235"/>
      <c r="I33" s="236"/>
      <c r="J33" s="28"/>
      <c r="K33" s="28"/>
      <c r="L33" s="81"/>
      <c r="O33" s="54"/>
      <c r="P33" s="30" t="s">
        <v>141</v>
      </c>
    </row>
    <row r="34" spans="1:18" ht="15.75" customHeight="1" thickBot="1">
      <c r="A34" s="123"/>
      <c r="B34" s="124"/>
      <c r="C34" s="102"/>
      <c r="D34" s="237"/>
      <c r="E34" s="237"/>
      <c r="F34" s="237"/>
      <c r="G34" s="237"/>
      <c r="H34" s="237"/>
      <c r="I34" s="238"/>
      <c r="J34" s="83"/>
      <c r="K34" s="83"/>
      <c r="L34" s="82"/>
      <c r="N34" s="30" t="s">
        <v>65</v>
      </c>
      <c r="O34" s="39" t="e">
        <f>qf*Cq</f>
        <v>#REF!</v>
      </c>
      <c r="P34" s="30" t="s">
        <v>142</v>
      </c>
    </row>
    <row r="35" spans="1:18" ht="15.95" customHeight="1">
      <c r="A35" s="123"/>
      <c r="B35" s="124"/>
      <c r="C35" s="179" t="s">
        <v>92</v>
      </c>
      <c r="D35" s="126" t="s">
        <v>53</v>
      </c>
      <c r="E35" s="192"/>
      <c r="F35" s="192"/>
      <c r="G35" s="192" t="s">
        <v>27</v>
      </c>
      <c r="H35" s="192"/>
      <c r="I35" s="192"/>
      <c r="J35" s="192" t="s">
        <v>3</v>
      </c>
      <c r="K35" s="195"/>
      <c r="L35" s="196"/>
      <c r="N35" s="30" t="s">
        <v>66</v>
      </c>
      <c r="O35" s="39" t="e">
        <f>IF(O34&gt;30,30,O34)</f>
        <v>#REF!</v>
      </c>
      <c r="P35" s="30" t="s">
        <v>143</v>
      </c>
    </row>
    <row r="36" spans="1:18" ht="15.95" customHeight="1" thickBot="1">
      <c r="A36" s="123"/>
      <c r="B36" s="124"/>
      <c r="C36" s="179"/>
      <c r="D36" s="193"/>
      <c r="E36" s="155"/>
      <c r="F36" s="155"/>
      <c r="G36" s="155" t="s">
        <v>8</v>
      </c>
      <c r="H36" s="155"/>
      <c r="I36" s="155"/>
      <c r="J36" s="155" t="s">
        <v>13</v>
      </c>
      <c r="K36" s="155"/>
      <c r="L36" s="166"/>
      <c r="P36" s="30" t="s">
        <v>144</v>
      </c>
    </row>
    <row r="37" spans="1:18" s="56" customFormat="1" ht="15.95" customHeight="1">
      <c r="A37" s="123"/>
      <c r="B37" s="124"/>
      <c r="C37" s="179"/>
      <c r="D37" s="114" t="s">
        <v>118</v>
      </c>
      <c r="E37" s="115"/>
      <c r="F37" s="116"/>
      <c r="G37" s="171">
        <v>0.3</v>
      </c>
      <c r="H37" s="172"/>
      <c r="I37" s="172"/>
      <c r="J37" s="175">
        <f>Vuc/Iv</f>
        <v>18.333333333333336</v>
      </c>
      <c r="K37" s="176"/>
      <c r="L37" s="125" t="s">
        <v>2</v>
      </c>
      <c r="N37" s="57"/>
      <c r="O37" s="58"/>
      <c r="P37" s="30" t="s">
        <v>145</v>
      </c>
      <c r="R37" s="31"/>
    </row>
    <row r="38" spans="1:18" ht="15.75" customHeight="1" thickBot="1">
      <c r="A38" s="123"/>
      <c r="B38" s="124"/>
      <c r="C38" s="179"/>
      <c r="D38" s="117"/>
      <c r="E38" s="118"/>
      <c r="F38" s="119"/>
      <c r="G38" s="173"/>
      <c r="H38" s="174"/>
      <c r="I38" s="174"/>
      <c r="J38" s="177"/>
      <c r="K38" s="178"/>
      <c r="L38" s="95"/>
      <c r="N38" s="59"/>
      <c r="P38" s="30" t="s">
        <v>146</v>
      </c>
    </row>
    <row r="39" spans="1:18" ht="15.95" customHeight="1">
      <c r="A39" s="123"/>
      <c r="B39" s="124"/>
      <c r="C39" s="191" t="s">
        <v>91</v>
      </c>
      <c r="D39" s="126" t="s">
        <v>16</v>
      </c>
      <c r="E39" s="127"/>
      <c r="F39" s="127"/>
      <c r="G39" s="127" t="s">
        <v>26</v>
      </c>
      <c r="H39" s="127"/>
      <c r="I39" s="127"/>
      <c r="J39" s="127" t="s">
        <v>57</v>
      </c>
      <c r="K39" s="127"/>
      <c r="L39" s="133"/>
      <c r="N39" s="59"/>
      <c r="P39" s="30" t="s">
        <v>147</v>
      </c>
    </row>
    <row r="40" spans="1:18" ht="15.95" customHeight="1">
      <c r="A40" s="123"/>
      <c r="B40" s="124"/>
      <c r="C40" s="179"/>
      <c r="D40" s="128"/>
      <c r="E40" s="129"/>
      <c r="F40" s="129"/>
      <c r="G40" s="129"/>
      <c r="H40" s="129"/>
      <c r="I40" s="129"/>
      <c r="J40" s="129"/>
      <c r="K40" s="129"/>
      <c r="L40" s="134"/>
    </row>
    <row r="41" spans="1:18" ht="21.75" customHeight="1" thickBot="1">
      <c r="A41" s="123"/>
      <c r="B41" s="124"/>
      <c r="C41" s="179"/>
      <c r="D41" s="120" t="s">
        <v>9</v>
      </c>
      <c r="E41" s="86"/>
      <c r="F41" s="86"/>
      <c r="G41" s="86" t="s">
        <v>21</v>
      </c>
      <c r="H41" s="86"/>
      <c r="I41" s="86"/>
      <c r="J41" s="86" t="s">
        <v>95</v>
      </c>
      <c r="K41" s="86"/>
      <c r="L41" s="87"/>
      <c r="P41" s="57"/>
    </row>
    <row r="42" spans="1:18" ht="15.95" customHeight="1">
      <c r="A42" s="123"/>
      <c r="B42" s="124"/>
      <c r="C42" s="179"/>
      <c r="D42" s="181">
        <v>0.4</v>
      </c>
      <c r="E42" s="182"/>
      <c r="F42" s="189" t="s">
        <v>4</v>
      </c>
      <c r="G42" s="181">
        <v>0.3</v>
      </c>
      <c r="H42" s="182"/>
      <c r="I42" s="185" t="s">
        <v>4</v>
      </c>
      <c r="J42" s="181">
        <v>1</v>
      </c>
      <c r="K42" s="182"/>
      <c r="L42" s="187" t="s">
        <v>4</v>
      </c>
    </row>
    <row r="43" spans="1:18" ht="15.95" customHeight="1" thickBot="1">
      <c r="A43" s="123"/>
      <c r="B43" s="124"/>
      <c r="C43" s="179"/>
      <c r="D43" s="183"/>
      <c r="E43" s="184"/>
      <c r="F43" s="190"/>
      <c r="G43" s="183"/>
      <c r="H43" s="184"/>
      <c r="I43" s="186"/>
      <c r="J43" s="183"/>
      <c r="K43" s="184"/>
      <c r="L43" s="188"/>
    </row>
    <row r="44" spans="1:18" ht="15.95" customHeight="1">
      <c r="A44" s="60"/>
      <c r="B44" s="61"/>
      <c r="C44" s="102" t="s">
        <v>61</v>
      </c>
      <c r="D44" s="106">
        <f>IF(D47&lt;H47,H47,D47)</f>
        <v>706.5</v>
      </c>
      <c r="E44" s="104"/>
      <c r="F44" s="108" t="s">
        <v>62</v>
      </c>
      <c r="G44" s="110" t="str">
        <f>IF(J44&lt;=20,"Diamètre minimal","Diamètre")</f>
        <v>Diamètre</v>
      </c>
      <c r="H44" s="111"/>
      <c r="I44" s="111"/>
      <c r="J44" s="104">
        <f>SQRT(4*So/PI())</f>
        <v>29.992394675240465</v>
      </c>
      <c r="K44" s="104"/>
      <c r="L44" s="94" t="s">
        <v>60</v>
      </c>
    </row>
    <row r="45" spans="1:18" ht="15.95" customHeight="1" thickBot="1">
      <c r="A45" s="60"/>
      <c r="B45" s="61"/>
      <c r="C45" s="103"/>
      <c r="D45" s="107"/>
      <c r="E45" s="105"/>
      <c r="F45" s="109"/>
      <c r="G45" s="112"/>
      <c r="H45" s="113"/>
      <c r="I45" s="113"/>
      <c r="J45" s="105"/>
      <c r="K45" s="105"/>
      <c r="L45" s="95"/>
    </row>
    <row r="46" spans="1:18" ht="19.5" customHeight="1">
      <c r="A46" s="8"/>
      <c r="B46" s="8"/>
      <c r="C46" s="9"/>
      <c r="D46" s="10"/>
      <c r="E46" s="10"/>
      <c r="F46" s="11"/>
      <c r="G46" s="10"/>
      <c r="H46" s="10"/>
      <c r="I46" s="11"/>
      <c r="J46" s="12"/>
      <c r="K46" s="12"/>
      <c r="L46" s="11"/>
    </row>
    <row r="47" spans="1:18" ht="15.75" hidden="1" customHeight="1">
      <c r="A47" s="197" t="s">
        <v>98</v>
      </c>
      <c r="B47" s="197"/>
      <c r="C47" s="20" t="s">
        <v>99</v>
      </c>
      <c r="D47" s="27">
        <f>(K30/1000)/(0.6*SQRT(2*9.81*0.44*Hs))*10^6</f>
        <v>269.06931239990763</v>
      </c>
      <c r="E47" s="21" t="s">
        <v>100</v>
      </c>
      <c r="F47" s="62"/>
      <c r="G47" s="62"/>
      <c r="H47" s="24">
        <f>(3.14*0.03*0.03/4)*10^6</f>
        <v>706.5</v>
      </c>
      <c r="I47" s="21" t="s">
        <v>100</v>
      </c>
      <c r="J47" s="23"/>
      <c r="K47" s="23"/>
      <c r="L47" s="22"/>
    </row>
    <row r="48" spans="1:18" ht="15.75" hidden="1" customHeight="1">
      <c r="A48" s="197" t="s">
        <v>98</v>
      </c>
      <c r="B48" s="197"/>
      <c r="C48" s="20"/>
      <c r="D48" s="26" t="s">
        <v>102</v>
      </c>
      <c r="E48" s="21"/>
      <c r="F48" s="62"/>
      <c r="G48" s="62"/>
      <c r="H48" s="25" t="s">
        <v>101</v>
      </c>
      <c r="I48" s="21"/>
      <c r="J48" s="23"/>
      <c r="K48" s="23"/>
      <c r="L48" s="22"/>
    </row>
    <row r="49" spans="1:16" s="65" customFormat="1" ht="15.95" customHeight="1">
      <c r="A49" s="13"/>
      <c r="B49" s="13"/>
      <c r="C49" s="14"/>
      <c r="D49" s="15"/>
      <c r="E49" s="15"/>
      <c r="F49" s="16"/>
      <c r="G49" s="15"/>
      <c r="H49" s="15"/>
      <c r="I49" s="16"/>
      <c r="J49" s="17"/>
      <c r="K49" s="17"/>
      <c r="L49" s="16"/>
      <c r="M49" s="63"/>
      <c r="N49" s="59"/>
      <c r="O49" s="64"/>
      <c r="P49" s="30"/>
    </row>
    <row r="50" spans="1:16" s="65" customFormat="1" ht="15.95" customHeight="1">
      <c r="A50" s="180" t="str">
        <f ca="1">CONCATENATE("Bordeaux Métropole - Direction de l'EAU - 2012 ", IF(YEAR(NOW())&lt;&gt;2012,YEAR(NOW()),""))</f>
        <v>Bordeaux Métropole - Direction de l'EAU - 2012 2020</v>
      </c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63"/>
      <c r="N50" s="66"/>
      <c r="O50" s="67">
        <f>IF(Ho&lt;&gt;0,773*qfc/SQRT(Ho),"")</f>
        <v>0</v>
      </c>
      <c r="P50" s="30"/>
    </row>
    <row r="51" spans="1:16" s="43" customFormat="1" ht="15.95" customHeight="1">
      <c r="A51" s="31"/>
      <c r="B51" s="31"/>
      <c r="C51" s="31"/>
      <c r="D51" s="31"/>
      <c r="E51" s="31"/>
      <c r="F51" s="68"/>
      <c r="G51" s="31"/>
      <c r="H51" s="31"/>
      <c r="I51" s="68"/>
      <c r="J51" s="31"/>
      <c r="K51" s="31"/>
      <c r="L51" s="69"/>
      <c r="N51" s="70"/>
      <c r="O51" s="67"/>
      <c r="P51" s="30"/>
    </row>
    <row r="52" spans="1:16" s="71" customFormat="1" ht="15.95" customHeight="1">
      <c r="A52" s="31"/>
      <c r="B52" s="31"/>
      <c r="C52" s="31"/>
      <c r="D52" s="31"/>
      <c r="E52" s="31"/>
      <c r="F52" s="68"/>
      <c r="G52" s="31"/>
      <c r="H52" s="31"/>
      <c r="I52" s="68"/>
      <c r="J52" s="31"/>
      <c r="K52" s="31"/>
      <c r="L52" s="69"/>
      <c r="N52" s="59"/>
      <c r="O52" s="64"/>
      <c r="P52" s="30"/>
    </row>
    <row r="53" spans="1:16" s="71" customFormat="1" ht="15.95" customHeight="1">
      <c r="A53" s="31"/>
      <c r="B53" s="31"/>
      <c r="C53" s="31"/>
      <c r="D53" s="31"/>
      <c r="E53" s="31"/>
      <c r="F53" s="68"/>
      <c r="G53" s="29"/>
      <c r="H53" s="31"/>
      <c r="I53" s="68"/>
      <c r="J53" s="31"/>
      <c r="K53" s="31"/>
      <c r="L53" s="69"/>
      <c r="N53" s="59"/>
      <c r="O53" s="64"/>
      <c r="P53" s="59"/>
    </row>
    <row r="54" spans="1:16" s="43" customFormat="1" ht="15.95" customHeight="1">
      <c r="A54" s="31"/>
      <c r="B54" s="31"/>
      <c r="C54" s="31"/>
      <c r="D54" s="31"/>
      <c r="E54" s="31"/>
      <c r="F54" s="68"/>
      <c r="G54" s="31"/>
      <c r="H54" s="31"/>
      <c r="I54" s="68"/>
      <c r="J54" s="31"/>
      <c r="K54" s="31"/>
      <c r="L54" s="69"/>
      <c r="N54" s="30"/>
      <c r="O54" s="39"/>
      <c r="P54" s="59"/>
    </row>
    <row r="55" spans="1:16" ht="14.1" customHeight="1"/>
    <row r="56" spans="1:16" ht="26.1" customHeight="1">
      <c r="P56" s="59"/>
    </row>
    <row r="57" spans="1:16" ht="26.1" customHeight="1">
      <c r="P57" s="59"/>
    </row>
  </sheetData>
  <sheetProtection algorithmName="SHA-512" hashValue="NBJaDPst8TCOrq3QotUbTYzYgafE3IpujXP9np5pFoX0tnCDAa6CjrqWAsxKZsylDul6r6mhRujMcLWY57OMRQ==" saltValue="ENWUohbaNq5v7S95e+wG1A==" spinCount="100000" sheet="1"/>
  <mergeCells count="105">
    <mergeCell ref="D29:I29"/>
    <mergeCell ref="G18:H19"/>
    <mergeCell ref="G22:I22"/>
    <mergeCell ref="D22:F22"/>
    <mergeCell ref="G20:I21"/>
    <mergeCell ref="G16:H17"/>
    <mergeCell ref="A24:L24"/>
    <mergeCell ref="A30:C31"/>
    <mergeCell ref="D25:I26"/>
    <mergeCell ref="G30:H31"/>
    <mergeCell ref="A27:C27"/>
    <mergeCell ref="D27:L27"/>
    <mergeCell ref="G23:H23"/>
    <mergeCell ref="J14:K15"/>
    <mergeCell ref="L16:L17"/>
    <mergeCell ref="A10:A11"/>
    <mergeCell ref="C10:F10"/>
    <mergeCell ref="C11:F11"/>
    <mergeCell ref="A8:L8"/>
    <mergeCell ref="I16:I17"/>
    <mergeCell ref="I18:I19"/>
    <mergeCell ref="D16:E17"/>
    <mergeCell ref="D18:E19"/>
    <mergeCell ref="A25:C26"/>
    <mergeCell ref="D20:F21"/>
    <mergeCell ref="A20:C23"/>
    <mergeCell ref="F16:F17"/>
    <mergeCell ref="J23:K23"/>
    <mergeCell ref="J18:K19"/>
    <mergeCell ref="A14:A19"/>
    <mergeCell ref="I14:I15"/>
    <mergeCell ref="F14:F15"/>
    <mergeCell ref="J16:K17"/>
    <mergeCell ref="J25:K26"/>
    <mergeCell ref="J37:K38"/>
    <mergeCell ref="F30:F31"/>
    <mergeCell ref="C35:C38"/>
    <mergeCell ref="A50:L50"/>
    <mergeCell ref="G42:H43"/>
    <mergeCell ref="I42:I43"/>
    <mergeCell ref="J42:K43"/>
    <mergeCell ref="L42:L43"/>
    <mergeCell ref="D42:E43"/>
    <mergeCell ref="F42:F43"/>
    <mergeCell ref="C39:C43"/>
    <mergeCell ref="D35:F36"/>
    <mergeCell ref="C33:C34"/>
    <mergeCell ref="J35:L35"/>
    <mergeCell ref="J36:L36"/>
    <mergeCell ref="G35:I35"/>
    <mergeCell ref="G36:I36"/>
    <mergeCell ref="A47:B47"/>
    <mergeCell ref="A48:B48"/>
    <mergeCell ref="D30:E31"/>
    <mergeCell ref="D33:I34"/>
    <mergeCell ref="I30:I31"/>
    <mergeCell ref="A32:L32"/>
    <mergeCell ref="N1:O3"/>
    <mergeCell ref="J22:L22"/>
    <mergeCell ref="L18:L19"/>
    <mergeCell ref="J20:L21"/>
    <mergeCell ref="L14:L15"/>
    <mergeCell ref="A1:L3"/>
    <mergeCell ref="B7:L7"/>
    <mergeCell ref="G13:I13"/>
    <mergeCell ref="D13:F13"/>
    <mergeCell ref="A12:C13"/>
    <mergeCell ref="D12:F12"/>
    <mergeCell ref="G12:I12"/>
    <mergeCell ref="J12:L12"/>
    <mergeCell ref="B14:C15"/>
    <mergeCell ref="D14:E15"/>
    <mergeCell ref="A6:A7"/>
    <mergeCell ref="B6:L6"/>
    <mergeCell ref="C9:F9"/>
    <mergeCell ref="G10:I11"/>
    <mergeCell ref="G9:I9"/>
    <mergeCell ref="J10:L11"/>
    <mergeCell ref="J9:L9"/>
    <mergeCell ref="B10:B11"/>
    <mergeCell ref="N4:P6"/>
    <mergeCell ref="J13:L13"/>
    <mergeCell ref="B16:C17"/>
    <mergeCell ref="B18:C19"/>
    <mergeCell ref="D23:E23"/>
    <mergeCell ref="L30:L31"/>
    <mergeCell ref="J30:J31"/>
    <mergeCell ref="K30:K31"/>
    <mergeCell ref="G14:H15"/>
    <mergeCell ref="C44:C45"/>
    <mergeCell ref="J44:K45"/>
    <mergeCell ref="D44:E45"/>
    <mergeCell ref="F44:F45"/>
    <mergeCell ref="G44:I45"/>
    <mergeCell ref="L44:L45"/>
    <mergeCell ref="D37:F38"/>
    <mergeCell ref="D41:F41"/>
    <mergeCell ref="A33:B43"/>
    <mergeCell ref="G41:I41"/>
    <mergeCell ref="J41:L41"/>
    <mergeCell ref="L37:L38"/>
    <mergeCell ref="D39:F40"/>
    <mergeCell ref="G39:I40"/>
    <mergeCell ref="J39:L40"/>
    <mergeCell ref="G37:I38"/>
  </mergeCells>
  <phoneticPr fontId="1" type="noConversion"/>
  <conditionalFormatting sqref="J37:K38">
    <cfRule type="cellIs" dxfId="3" priority="1" stopIfTrue="1" operator="lessThan">
      <formula>#REF!</formula>
    </cfRule>
  </conditionalFormatting>
  <conditionalFormatting sqref="A28:C29">
    <cfRule type="expression" dxfId="2" priority="2" stopIfTrue="1">
      <formula>#REF!=FALSE()</formula>
    </cfRule>
  </conditionalFormatting>
  <dataValidations count="10">
    <dataValidation type="decimal" operator="greaterThanOrEqual" allowBlank="1" showInputMessage="1" showErrorMessage="1" sqref="J42:K43" xr:uid="{00000000-0002-0000-0100-000000000000}">
      <formula1>D42</formula1>
    </dataValidation>
    <dataValidation type="list" allowBlank="1" showInputMessage="1" showErrorMessage="1" sqref="G37:I38" xr:uid="{00000000-0002-0000-0100-000001000000}">
      <mc:AlternateContent xmlns:x12ac="http://schemas.microsoft.com/office/spreadsheetml/2011/1/ac" xmlns:mc="http://schemas.openxmlformats.org/markup-compatibility/2006">
        <mc:Choice Requires="x12ac">
          <x12ac:list>1,"0,95","0,9","0,85","0,8","0,75","0,7","0,65","0,6","0,55","0,5","0,45","0,4","0,35","0,3"</x12ac:list>
        </mc:Choice>
        <mc:Fallback>
          <formula1>"1,0,95,0,9,0,85,0,8,0,75,0,7,0,65,0,6,0,55,0,5,0,45,0,4,0,35,0,3"</formula1>
        </mc:Fallback>
      </mc:AlternateContent>
    </dataValidation>
    <dataValidation type="list" allowBlank="1" showInputMessage="1" showErrorMessage="1" sqref="D37:F38" xr:uid="{00000000-0002-0000-0100-000002000000}">
      <formula1>"diorite 40/70,alvéolaire,autre,sans"</formula1>
    </dataValidation>
    <dataValidation type="decimal" operator="greaterThanOrEqual" allowBlank="1" showInputMessage="1" showErrorMessage="1" sqref="G42:H43" xr:uid="{00000000-0002-0000-0100-000003000000}">
      <formula1>0.1</formula1>
    </dataValidation>
    <dataValidation operator="greaterThanOrEqual" allowBlank="1" showInputMessage="1" showErrorMessage="1" sqref="J37:K38" xr:uid="{00000000-0002-0000-0100-000004000000}"/>
    <dataValidation type="decimal" operator="lessThan" allowBlank="1" showInputMessage="1" showErrorMessage="1" sqref="D42:E43" xr:uid="{00000000-0002-0000-0100-000005000000}">
      <formula1>Ho</formula1>
    </dataValidation>
    <dataValidation type="list" allowBlank="1" showInputMessage="1" showErrorMessage="1" sqref="D33:I34" xr:uid="{00000000-0002-0000-0100-000006000000}">
      <formula1>"Structure réservoir,Bassin,Canalisation surdimensionnée,Noue,Tranchée drainante"</formula1>
    </dataValidation>
    <dataValidation type="list" allowBlank="1" showInputMessage="1" showErrorMessage="1" sqref="J28:K29" xr:uid="{00000000-0002-0000-0100-000007000000}">
      <formula1>"Gestion globale,Gestion indépendante"</formula1>
    </dataValidation>
    <dataValidation type="whole" operator="greaterThanOrEqual" allowBlank="1" showInputMessage="1" showErrorMessage="1" sqref="I18 I14 H14:H17 G14:G18 I16" xr:uid="{00000000-0002-0000-0100-000008000000}">
      <formula1>0</formula1>
    </dataValidation>
    <dataValidation type="list" allowBlank="1" showInputMessage="1" showErrorMessage="1" sqref="J10:L11" xr:uid="{00000000-0002-0000-0100-000009000000}">
      <formula1>$P$12:$P$39</formula1>
    </dataValidation>
  </dataValidations>
  <printOptions horizontalCentered="1" verticalCentered="1"/>
  <pageMargins left="0.39370078740157483" right="0.39370078740157483" top="0.39370078740157483" bottom="0.39370078740157483" header="0.19685039370078741" footer="0.51181102362204722"/>
  <pageSetup paperSize="9" scale="65" orientation="portrait" verticalDpi="4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2">
    <pageSetUpPr fitToPage="1"/>
  </sheetPr>
  <dimension ref="A1:U57"/>
  <sheetViews>
    <sheetView showGridLines="0" zoomScale="85" workbookViewId="0">
      <selection activeCell="S17" sqref="S17"/>
    </sheetView>
  </sheetViews>
  <sheetFormatPr baseColWidth="10" defaultRowHeight="26.1" customHeight="1"/>
  <cols>
    <col min="1" max="1" width="16.7109375" style="31" customWidth="1"/>
    <col min="2" max="2" width="35.5703125" style="31" bestFit="1" customWidth="1"/>
    <col min="3" max="3" width="16.7109375" style="31" customWidth="1"/>
    <col min="4" max="5" width="8.7109375" style="31" customWidth="1"/>
    <col min="6" max="6" width="10.85546875" style="68" customWidth="1"/>
    <col min="7" max="7" width="8.7109375" style="31" customWidth="1"/>
    <col min="8" max="8" width="9.85546875" style="31" customWidth="1"/>
    <col min="9" max="9" width="8.7109375" style="68" customWidth="1"/>
    <col min="10" max="11" width="8.7109375" style="31" customWidth="1"/>
    <col min="12" max="12" width="8.7109375" style="69" customWidth="1"/>
    <col min="13" max="13" width="11.28515625" style="29" customWidth="1"/>
    <col min="14" max="14" width="34.28515625" style="30" customWidth="1"/>
    <col min="15" max="15" width="9.7109375" style="39" customWidth="1"/>
    <col min="16" max="16" width="11.140625" style="30" customWidth="1"/>
    <col min="17" max="21" width="9.7109375" style="31" customWidth="1"/>
    <col min="22" max="16384" width="11.42578125" style="31"/>
  </cols>
  <sheetData>
    <row r="1" spans="1:21" ht="15.95" customHeight="1">
      <c r="A1" s="356" t="s">
        <v>29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8"/>
      <c r="N1" s="130" t="s">
        <v>63</v>
      </c>
      <c r="O1" s="131"/>
    </row>
    <row r="2" spans="1:21" ht="15.95" customHeight="1">
      <c r="A2" s="359"/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1"/>
      <c r="N2" s="131"/>
      <c r="O2" s="131"/>
    </row>
    <row r="3" spans="1:21" ht="15.95" customHeight="1">
      <c r="A3" s="359"/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1"/>
      <c r="N3" s="131"/>
      <c r="O3" s="131"/>
    </row>
    <row r="4" spans="1:21" s="35" customFormat="1" ht="15.95" customHeight="1">
      <c r="A4" s="32" t="s">
        <v>54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4"/>
      <c r="N4" s="169" t="s">
        <v>89</v>
      </c>
      <c r="O4" s="170"/>
      <c r="P4" s="170"/>
      <c r="Q4" s="31"/>
      <c r="R4" s="31"/>
      <c r="S4" s="31"/>
      <c r="T4" s="31"/>
      <c r="U4" s="31"/>
    </row>
    <row r="5" spans="1:21" ht="15.95" customHeight="1">
      <c r="A5" s="36"/>
      <c r="B5" s="37"/>
      <c r="C5" s="37"/>
      <c r="D5" s="37"/>
      <c r="E5" s="37"/>
      <c r="F5" s="37"/>
      <c r="G5" s="37"/>
      <c r="H5" s="37"/>
      <c r="I5" s="37"/>
      <c r="J5" s="37"/>
      <c r="K5" s="37"/>
      <c r="L5" s="38"/>
      <c r="N5" s="170"/>
      <c r="O5" s="170"/>
      <c r="P5" s="170"/>
    </row>
    <row r="6" spans="1:21" ht="15.95" customHeight="1">
      <c r="A6" s="264" t="s">
        <v>90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4"/>
      <c r="N6" s="170"/>
      <c r="O6" s="170"/>
      <c r="P6" s="170"/>
    </row>
    <row r="7" spans="1:21" ht="15.95" customHeight="1">
      <c r="A7" s="264"/>
      <c r="B7" s="362" t="s">
        <v>42</v>
      </c>
      <c r="C7" s="362"/>
      <c r="D7" s="362"/>
      <c r="E7" s="362"/>
      <c r="F7" s="362"/>
      <c r="G7" s="362"/>
      <c r="H7" s="362"/>
      <c r="I7" s="362"/>
      <c r="J7" s="362"/>
      <c r="K7" s="362"/>
      <c r="L7" s="363"/>
    </row>
    <row r="8" spans="1:21" ht="15.95" customHeight="1">
      <c r="A8" s="314" t="s">
        <v>30</v>
      </c>
      <c r="B8" s="315"/>
      <c r="C8" s="315"/>
      <c r="D8" s="315"/>
      <c r="E8" s="315"/>
      <c r="F8" s="315"/>
      <c r="G8" s="315"/>
      <c r="H8" s="315"/>
      <c r="I8" s="315"/>
      <c r="J8" s="315"/>
      <c r="K8" s="315"/>
      <c r="L8" s="316"/>
      <c r="N8" s="30" t="s">
        <v>69</v>
      </c>
      <c r="O8" s="39">
        <v>0.3</v>
      </c>
    </row>
    <row r="9" spans="1:21" s="42" customFormat="1" ht="15.95" customHeight="1" thickBot="1">
      <c r="A9" s="40" t="s">
        <v>7</v>
      </c>
      <c r="B9" s="41" t="s">
        <v>5</v>
      </c>
      <c r="C9" s="265" t="s">
        <v>11</v>
      </c>
      <c r="D9" s="265"/>
      <c r="E9" s="265"/>
      <c r="F9" s="265"/>
      <c r="G9" s="265" t="s">
        <v>6</v>
      </c>
      <c r="H9" s="265"/>
      <c r="I9" s="265"/>
      <c r="J9" s="265" t="s">
        <v>10</v>
      </c>
      <c r="K9" s="265"/>
      <c r="L9" s="354"/>
      <c r="N9" s="30" t="s">
        <v>70</v>
      </c>
      <c r="O9" s="39">
        <v>3</v>
      </c>
      <c r="P9" s="30"/>
      <c r="R9" s="43"/>
      <c r="S9" s="31"/>
      <c r="T9" s="31"/>
      <c r="U9" s="31"/>
    </row>
    <row r="10" spans="1:21" s="43" customFormat="1" ht="15.95" customHeight="1">
      <c r="A10" s="306">
        <f ca="1">NOW()</f>
        <v>44081.399180324071</v>
      </c>
      <c r="B10" s="368" t="s">
        <v>47</v>
      </c>
      <c r="C10" s="308" t="s">
        <v>45</v>
      </c>
      <c r="D10" s="309"/>
      <c r="E10" s="309"/>
      <c r="F10" s="310"/>
      <c r="G10" s="266" t="s">
        <v>28</v>
      </c>
      <c r="H10" s="266"/>
      <c r="I10" s="267"/>
      <c r="J10" s="270" t="s">
        <v>14</v>
      </c>
      <c r="K10" s="271"/>
      <c r="L10" s="272"/>
      <c r="N10" s="30"/>
      <c r="O10" s="39"/>
      <c r="P10" s="30"/>
    </row>
    <row r="11" spans="1:21" s="43" customFormat="1" ht="15.95" customHeight="1" thickBot="1">
      <c r="A11" s="307"/>
      <c r="B11" s="369"/>
      <c r="C11" s="311" t="s">
        <v>46</v>
      </c>
      <c r="D11" s="312"/>
      <c r="E11" s="312"/>
      <c r="F11" s="313"/>
      <c r="G11" s="268"/>
      <c r="H11" s="268"/>
      <c r="I11" s="269"/>
      <c r="J11" s="273"/>
      <c r="K11" s="274"/>
      <c r="L11" s="275"/>
      <c r="N11" s="30" t="s">
        <v>71</v>
      </c>
      <c r="O11" s="39">
        <v>30</v>
      </c>
      <c r="P11" s="30"/>
    </row>
    <row r="12" spans="1:21" ht="15.95" customHeight="1">
      <c r="A12" s="364" t="s">
        <v>55</v>
      </c>
      <c r="B12" s="365"/>
      <c r="C12" s="365"/>
      <c r="D12" s="291" t="s">
        <v>20</v>
      </c>
      <c r="E12" s="291"/>
      <c r="F12" s="291"/>
      <c r="G12" s="291" t="s">
        <v>19</v>
      </c>
      <c r="H12" s="291"/>
      <c r="I12" s="291"/>
      <c r="J12" s="291" t="s">
        <v>18</v>
      </c>
      <c r="K12" s="291"/>
      <c r="L12" s="341"/>
      <c r="O12" s="30"/>
      <c r="P12" s="30" t="s">
        <v>105</v>
      </c>
    </row>
    <row r="13" spans="1:21" ht="15.95" customHeight="1" thickBot="1">
      <c r="A13" s="366"/>
      <c r="B13" s="367"/>
      <c r="C13" s="367"/>
      <c r="D13" s="335" t="s">
        <v>31</v>
      </c>
      <c r="E13" s="335"/>
      <c r="F13" s="335"/>
      <c r="G13" s="335" t="s">
        <v>32</v>
      </c>
      <c r="H13" s="335"/>
      <c r="I13" s="335"/>
      <c r="J13" s="335" t="s">
        <v>33</v>
      </c>
      <c r="K13" s="335"/>
      <c r="L13" s="336"/>
      <c r="O13" s="30"/>
      <c r="P13" s="30" t="s">
        <v>113</v>
      </c>
    </row>
    <row r="14" spans="1:21" ht="15.95" customHeight="1" thickBot="1">
      <c r="A14" s="202" t="s">
        <v>88</v>
      </c>
      <c r="B14" s="148" t="s">
        <v>117</v>
      </c>
      <c r="C14" s="148"/>
      <c r="D14" s="370">
        <v>1</v>
      </c>
      <c r="E14" s="370"/>
      <c r="F14" s="322"/>
      <c r="G14" s="376">
        <v>1000</v>
      </c>
      <c r="H14" s="377"/>
      <c r="I14" s="280" t="s">
        <v>0</v>
      </c>
      <c r="J14" s="302">
        <f>G14*D14</f>
        <v>1000</v>
      </c>
      <c r="K14" s="302"/>
      <c r="L14" s="355" t="s">
        <v>0</v>
      </c>
      <c r="P14" s="30" t="s">
        <v>114</v>
      </c>
    </row>
    <row r="15" spans="1:21" ht="27.75" customHeight="1" thickBot="1">
      <c r="A15" s="203"/>
      <c r="B15" s="149"/>
      <c r="C15" s="149"/>
      <c r="D15" s="282"/>
      <c r="E15" s="282"/>
      <c r="F15" s="318"/>
      <c r="G15" s="376"/>
      <c r="H15" s="377"/>
      <c r="I15" s="280"/>
      <c r="J15" s="303"/>
      <c r="K15" s="303"/>
      <c r="L15" s="305"/>
      <c r="P15" s="30" t="s">
        <v>115</v>
      </c>
    </row>
    <row r="16" spans="1:21" ht="15.95" customHeight="1" thickBot="1">
      <c r="A16" s="203"/>
      <c r="B16" s="88" t="s">
        <v>104</v>
      </c>
      <c r="C16" s="88"/>
      <c r="D16" s="281">
        <v>0.2</v>
      </c>
      <c r="E16" s="281"/>
      <c r="F16" s="317"/>
      <c r="G16" s="376">
        <v>0</v>
      </c>
      <c r="H16" s="377"/>
      <c r="I16" s="280" t="s">
        <v>0</v>
      </c>
      <c r="J16" s="320">
        <f>G16*D16</f>
        <v>0</v>
      </c>
      <c r="K16" s="320"/>
      <c r="L16" s="304" t="s">
        <v>0</v>
      </c>
      <c r="P16" s="30" t="s">
        <v>116</v>
      </c>
    </row>
    <row r="17" spans="1:16" ht="15.95" customHeight="1" thickBot="1">
      <c r="A17" s="203"/>
      <c r="B17" s="89"/>
      <c r="C17" s="89"/>
      <c r="D17" s="282"/>
      <c r="E17" s="282"/>
      <c r="F17" s="318"/>
      <c r="G17" s="376"/>
      <c r="H17" s="377"/>
      <c r="I17" s="280"/>
      <c r="J17" s="303"/>
      <c r="K17" s="303"/>
      <c r="L17" s="305"/>
      <c r="P17" s="30" t="s">
        <v>106</v>
      </c>
    </row>
    <row r="18" spans="1:16" ht="15.95" customHeight="1" thickBot="1">
      <c r="A18" s="203"/>
      <c r="B18" s="90" t="s">
        <v>15</v>
      </c>
      <c r="C18" s="90"/>
      <c r="D18" s="281">
        <v>0</v>
      </c>
      <c r="E18" s="281"/>
      <c r="F18" s="44"/>
      <c r="G18" s="371">
        <v>0</v>
      </c>
      <c r="H18" s="372"/>
      <c r="I18" s="280" t="s">
        <v>0</v>
      </c>
      <c r="J18" s="320">
        <f>G18*D18</f>
        <v>0</v>
      </c>
      <c r="K18" s="320"/>
      <c r="L18" s="304" t="s">
        <v>0</v>
      </c>
      <c r="P18" s="30" t="s">
        <v>14</v>
      </c>
    </row>
    <row r="19" spans="1:16" ht="15.95" customHeight="1" thickBot="1">
      <c r="A19" s="204"/>
      <c r="B19" s="91"/>
      <c r="C19" s="91"/>
      <c r="D19" s="283"/>
      <c r="E19" s="283"/>
      <c r="F19" s="45"/>
      <c r="G19" s="373"/>
      <c r="H19" s="374"/>
      <c r="I19" s="280"/>
      <c r="J19" s="321"/>
      <c r="K19" s="321"/>
      <c r="L19" s="338"/>
      <c r="P19" s="30" t="s">
        <v>107</v>
      </c>
    </row>
    <row r="20" spans="1:16" ht="15.95" customHeight="1">
      <c r="A20" s="202" t="s">
        <v>93</v>
      </c>
      <c r="B20" s="194"/>
      <c r="C20" s="194"/>
      <c r="D20" s="290" t="s">
        <v>22</v>
      </c>
      <c r="E20" s="291"/>
      <c r="F20" s="291"/>
      <c r="G20" s="291" t="s">
        <v>23</v>
      </c>
      <c r="H20" s="291"/>
      <c r="I20" s="291"/>
      <c r="J20" s="291" t="s">
        <v>24</v>
      </c>
      <c r="K20" s="291"/>
      <c r="L20" s="341"/>
      <c r="P20" s="30" t="s">
        <v>108</v>
      </c>
    </row>
    <row r="21" spans="1:16" ht="15.95" customHeight="1">
      <c r="A21" s="203"/>
      <c r="B21" s="102"/>
      <c r="C21" s="102"/>
      <c r="D21" s="292"/>
      <c r="E21" s="293"/>
      <c r="F21" s="293"/>
      <c r="G21" s="293"/>
      <c r="H21" s="293"/>
      <c r="I21" s="293"/>
      <c r="J21" s="293"/>
      <c r="K21" s="293"/>
      <c r="L21" s="342"/>
      <c r="P21" s="30" t="s">
        <v>109</v>
      </c>
    </row>
    <row r="22" spans="1:16" ht="15.95" customHeight="1" thickBot="1">
      <c r="A22" s="203"/>
      <c r="B22" s="102"/>
      <c r="C22" s="102"/>
      <c r="D22" s="375" t="s">
        <v>25</v>
      </c>
      <c r="E22" s="335"/>
      <c r="F22" s="335"/>
      <c r="G22" s="335" t="s">
        <v>34</v>
      </c>
      <c r="H22" s="335"/>
      <c r="I22" s="335"/>
      <c r="J22" s="335" t="s">
        <v>35</v>
      </c>
      <c r="K22" s="335"/>
      <c r="L22" s="336"/>
      <c r="P22" s="30" t="s">
        <v>110</v>
      </c>
    </row>
    <row r="23" spans="1:16" ht="15.95" customHeight="1" thickBot="1">
      <c r="A23" s="204"/>
      <c r="B23" s="205"/>
      <c r="C23" s="205"/>
      <c r="D23" s="392">
        <f>Sap/G23</f>
        <v>1</v>
      </c>
      <c r="E23" s="393"/>
      <c r="F23" s="46"/>
      <c r="G23" s="300">
        <f>SUM(G14:H19)</f>
        <v>1000</v>
      </c>
      <c r="H23" s="301"/>
      <c r="I23" s="47" t="s">
        <v>0</v>
      </c>
      <c r="J23" s="319">
        <f>SUM(J14:K19)</f>
        <v>1000</v>
      </c>
      <c r="K23" s="302"/>
      <c r="L23" s="48" t="s">
        <v>0</v>
      </c>
      <c r="P23" s="30" t="s">
        <v>111</v>
      </c>
    </row>
    <row r="24" spans="1:16" ht="15.95" customHeight="1" thickBot="1">
      <c r="A24" s="286" t="s">
        <v>12</v>
      </c>
      <c r="B24" s="287"/>
      <c r="C24" s="287"/>
      <c r="D24" s="287"/>
      <c r="E24" s="287"/>
      <c r="F24" s="287"/>
      <c r="G24" s="287"/>
      <c r="H24" s="287"/>
      <c r="I24" s="287"/>
      <c r="J24" s="287"/>
      <c r="K24" s="287"/>
      <c r="L24" s="404"/>
      <c r="O24" s="30"/>
      <c r="P24" s="30" t="s">
        <v>112</v>
      </c>
    </row>
    <row r="25" spans="1:16" ht="15.95" customHeight="1">
      <c r="A25" s="243" t="s">
        <v>43</v>
      </c>
      <c r="B25" s="244"/>
      <c r="C25" s="244"/>
      <c r="D25" s="396"/>
      <c r="E25" s="396"/>
      <c r="F25" s="396"/>
      <c r="G25" s="396"/>
      <c r="H25" s="396"/>
      <c r="I25" s="396"/>
      <c r="J25" s="402" t="s">
        <v>1</v>
      </c>
      <c r="K25" s="402"/>
      <c r="L25" s="48"/>
      <c r="O25" s="30"/>
      <c r="P25" s="30" t="s">
        <v>74</v>
      </c>
    </row>
    <row r="26" spans="1:16" ht="15.95" customHeight="1" thickBot="1">
      <c r="A26" s="243"/>
      <c r="B26" s="244"/>
      <c r="C26" s="244"/>
      <c r="D26" s="397"/>
      <c r="E26" s="397"/>
      <c r="F26" s="397"/>
      <c r="G26" s="397"/>
      <c r="H26" s="397"/>
      <c r="I26" s="397"/>
      <c r="J26" s="403"/>
      <c r="K26" s="403"/>
      <c r="L26" s="49"/>
      <c r="P26" s="30" t="s">
        <v>75</v>
      </c>
    </row>
    <row r="27" spans="1:16" ht="15.95" customHeight="1" thickBot="1">
      <c r="A27" s="286" t="s">
        <v>17</v>
      </c>
      <c r="B27" s="287"/>
      <c r="C27" s="287"/>
      <c r="D27" s="406"/>
      <c r="E27" s="407"/>
      <c r="F27" s="407"/>
      <c r="G27" s="407"/>
      <c r="H27" s="407"/>
      <c r="I27" s="407"/>
      <c r="J27" s="407"/>
      <c r="K27" s="407"/>
      <c r="L27" s="408"/>
      <c r="P27" s="30" t="s">
        <v>76</v>
      </c>
    </row>
    <row r="28" spans="1:16" ht="15.95" customHeight="1" thickBot="1">
      <c r="A28" s="50" t="s">
        <v>97</v>
      </c>
      <c r="B28" s="51"/>
      <c r="C28" s="51"/>
      <c r="D28" s="19">
        <v>1</v>
      </c>
      <c r="E28" s="19"/>
      <c r="F28" s="19"/>
      <c r="G28" s="19"/>
      <c r="H28" s="19"/>
      <c r="I28" s="19"/>
      <c r="J28" s="52"/>
      <c r="K28" s="52"/>
      <c r="L28" s="53"/>
      <c r="N28" s="30" t="s">
        <v>68</v>
      </c>
      <c r="O28" s="39">
        <v>3</v>
      </c>
      <c r="P28" s="30" t="s">
        <v>77</v>
      </c>
    </row>
    <row r="29" spans="1:16" ht="15.95" customHeight="1" thickBot="1">
      <c r="A29" s="50" t="s">
        <v>96</v>
      </c>
      <c r="B29" s="51"/>
      <c r="C29" s="51"/>
      <c r="D29" s="247">
        <f>3*Sa/10000</f>
        <v>0.3</v>
      </c>
      <c r="E29" s="247"/>
      <c r="F29" s="247"/>
      <c r="G29" s="247"/>
      <c r="H29" s="247"/>
      <c r="I29" s="247"/>
      <c r="J29" s="52"/>
      <c r="K29" s="52"/>
      <c r="L29" s="53"/>
      <c r="N29" s="30" t="s">
        <v>67</v>
      </c>
      <c r="O29" s="39" t="e">
        <f>IF(MID(#REF!,9,1)="g",O28/qf,1)</f>
        <v>#REF!</v>
      </c>
      <c r="P29" s="30" t="s">
        <v>78</v>
      </c>
    </row>
    <row r="30" spans="1:16" ht="15.95" customHeight="1">
      <c r="A30" s="254" t="s">
        <v>119</v>
      </c>
      <c r="B30" s="255"/>
      <c r="C30" s="255"/>
      <c r="D30" s="294">
        <f>500*Sa/10000</f>
        <v>50</v>
      </c>
      <c r="E30" s="295"/>
      <c r="F30" s="284" t="s">
        <v>2</v>
      </c>
      <c r="G30" s="398"/>
      <c r="H30" s="399"/>
      <c r="I30" s="284"/>
      <c r="J30" s="394"/>
      <c r="K30" s="298">
        <f>ROUND(D28*IF(D29&lt;0.3,0.3,D29),1)</f>
        <v>0.3</v>
      </c>
      <c r="L30" s="355" t="s">
        <v>56</v>
      </c>
      <c r="O30" s="39" t="e">
        <f>IF(O28&gt;30,30/qf,Cq)</f>
        <v>#REF!</v>
      </c>
      <c r="P30" s="30" t="s">
        <v>79</v>
      </c>
    </row>
    <row r="31" spans="1:16" ht="15.75" customHeight="1" thickBot="1">
      <c r="A31" s="256"/>
      <c r="B31" s="257"/>
      <c r="C31" s="257"/>
      <c r="D31" s="296"/>
      <c r="E31" s="297"/>
      <c r="F31" s="285"/>
      <c r="G31" s="400"/>
      <c r="H31" s="401"/>
      <c r="I31" s="285"/>
      <c r="J31" s="395"/>
      <c r="K31" s="299"/>
      <c r="L31" s="338"/>
      <c r="N31" s="30" t="s">
        <v>73</v>
      </c>
      <c r="O31" s="54" t="e">
        <f>IF(Vu=0,"",qf*cqmax*Sa/10000)</f>
        <v>#REF!</v>
      </c>
      <c r="P31" s="30" t="s">
        <v>80</v>
      </c>
    </row>
    <row r="32" spans="1:16" ht="15.75" customHeight="1" thickBot="1">
      <c r="A32" s="286" t="s">
        <v>72</v>
      </c>
      <c r="B32" s="287"/>
      <c r="C32" s="287"/>
      <c r="D32" s="287"/>
      <c r="E32" s="287"/>
      <c r="F32" s="287"/>
      <c r="G32" s="287"/>
      <c r="H32" s="287"/>
      <c r="I32" s="287"/>
      <c r="J32" s="287"/>
      <c r="K32" s="288"/>
      <c r="L32" s="289"/>
      <c r="O32" s="54"/>
      <c r="P32" s="30" t="s">
        <v>81</v>
      </c>
    </row>
    <row r="33" spans="1:18" ht="15.75" customHeight="1">
      <c r="A33" s="121"/>
      <c r="B33" s="122"/>
      <c r="C33" s="194" t="s">
        <v>52</v>
      </c>
      <c r="D33" s="276" t="s">
        <v>103</v>
      </c>
      <c r="E33" s="276"/>
      <c r="F33" s="276"/>
      <c r="G33" s="276"/>
      <c r="H33" s="276"/>
      <c r="I33" s="277"/>
      <c r="J33" s="7"/>
      <c r="K33" s="7"/>
      <c r="L33" s="48"/>
      <c r="O33" s="54"/>
      <c r="P33" s="30" t="s">
        <v>82</v>
      </c>
    </row>
    <row r="34" spans="1:18" ht="15.75" customHeight="1" thickBot="1">
      <c r="A34" s="123"/>
      <c r="B34" s="124"/>
      <c r="C34" s="102"/>
      <c r="D34" s="278"/>
      <c r="E34" s="278"/>
      <c r="F34" s="278"/>
      <c r="G34" s="278"/>
      <c r="H34" s="278"/>
      <c r="I34" s="279"/>
      <c r="J34" s="55"/>
      <c r="K34" s="55"/>
      <c r="L34" s="49"/>
      <c r="N34" s="30" t="s">
        <v>65</v>
      </c>
      <c r="O34" s="39" t="e">
        <f>qf*Cq</f>
        <v>#REF!</v>
      </c>
      <c r="P34" s="30" t="s">
        <v>87</v>
      </c>
    </row>
    <row r="35" spans="1:18" ht="15.95" customHeight="1">
      <c r="A35" s="123"/>
      <c r="B35" s="124"/>
      <c r="C35" s="179" t="s">
        <v>92</v>
      </c>
      <c r="D35" s="339" t="s">
        <v>53</v>
      </c>
      <c r="E35" s="351"/>
      <c r="F35" s="351"/>
      <c r="G35" s="351" t="s">
        <v>27</v>
      </c>
      <c r="H35" s="351"/>
      <c r="I35" s="351"/>
      <c r="J35" s="351" t="s">
        <v>3</v>
      </c>
      <c r="K35" s="352"/>
      <c r="L35" s="353"/>
      <c r="N35" s="30" t="s">
        <v>66</v>
      </c>
      <c r="O35" s="39" t="e">
        <f>IF(O34&gt;30,30,O34)</f>
        <v>#REF!</v>
      </c>
      <c r="P35" s="30" t="s">
        <v>83</v>
      </c>
    </row>
    <row r="36" spans="1:18" ht="15.95" customHeight="1" thickBot="1">
      <c r="A36" s="123"/>
      <c r="B36" s="124"/>
      <c r="C36" s="179"/>
      <c r="D36" s="405"/>
      <c r="E36" s="265"/>
      <c r="F36" s="265"/>
      <c r="G36" s="265" t="s">
        <v>8</v>
      </c>
      <c r="H36" s="265"/>
      <c r="I36" s="265"/>
      <c r="J36" s="265" t="s">
        <v>13</v>
      </c>
      <c r="K36" s="265"/>
      <c r="L36" s="354"/>
      <c r="P36" s="30" t="s">
        <v>84</v>
      </c>
    </row>
    <row r="37" spans="1:18" s="56" customFormat="1" ht="15.95" customHeight="1">
      <c r="A37" s="123"/>
      <c r="B37" s="124"/>
      <c r="C37" s="179"/>
      <c r="D37" s="386" t="s">
        <v>59</v>
      </c>
      <c r="E37" s="387"/>
      <c r="F37" s="388"/>
      <c r="G37" s="343">
        <v>1</v>
      </c>
      <c r="H37" s="344"/>
      <c r="I37" s="344"/>
      <c r="J37" s="347">
        <f>Vuc/Iv</f>
        <v>50</v>
      </c>
      <c r="K37" s="348"/>
      <c r="L37" s="337" t="s">
        <v>2</v>
      </c>
      <c r="N37" s="57"/>
      <c r="O37" s="58"/>
      <c r="P37" s="30" t="s">
        <v>85</v>
      </c>
      <c r="R37" s="31"/>
    </row>
    <row r="38" spans="1:18" ht="15.95" customHeight="1" thickBot="1">
      <c r="A38" s="123"/>
      <c r="B38" s="124"/>
      <c r="C38" s="179"/>
      <c r="D38" s="389"/>
      <c r="E38" s="390"/>
      <c r="F38" s="391"/>
      <c r="G38" s="345"/>
      <c r="H38" s="346"/>
      <c r="I38" s="346"/>
      <c r="J38" s="349"/>
      <c r="K38" s="350"/>
      <c r="L38" s="338"/>
      <c r="N38" s="59"/>
      <c r="P38" s="30" t="s">
        <v>86</v>
      </c>
    </row>
    <row r="39" spans="1:18" ht="15.95" customHeight="1">
      <c r="A39" s="123"/>
      <c r="B39" s="124"/>
      <c r="C39" s="191" t="s">
        <v>91</v>
      </c>
      <c r="D39" s="339" t="s">
        <v>16</v>
      </c>
      <c r="E39" s="291"/>
      <c r="F39" s="291"/>
      <c r="G39" s="291" t="s">
        <v>26</v>
      </c>
      <c r="H39" s="291"/>
      <c r="I39" s="291"/>
      <c r="J39" s="291" t="s">
        <v>57</v>
      </c>
      <c r="K39" s="291"/>
      <c r="L39" s="341"/>
      <c r="N39" s="59"/>
    </row>
    <row r="40" spans="1:18" ht="15.95" customHeight="1">
      <c r="A40" s="123"/>
      <c r="B40" s="124"/>
      <c r="C40" s="179"/>
      <c r="D40" s="340"/>
      <c r="E40" s="293"/>
      <c r="F40" s="293"/>
      <c r="G40" s="293"/>
      <c r="H40" s="293"/>
      <c r="I40" s="293"/>
      <c r="J40" s="293"/>
      <c r="K40" s="293"/>
      <c r="L40" s="342"/>
    </row>
    <row r="41" spans="1:18" ht="15.95" customHeight="1" thickBot="1">
      <c r="A41" s="123"/>
      <c r="B41" s="124"/>
      <c r="C41" s="179"/>
      <c r="D41" s="334" t="s">
        <v>9</v>
      </c>
      <c r="E41" s="335"/>
      <c r="F41" s="335"/>
      <c r="G41" s="335" t="s">
        <v>21</v>
      </c>
      <c r="H41" s="335"/>
      <c r="I41" s="335"/>
      <c r="J41" s="335" t="s">
        <v>95</v>
      </c>
      <c r="K41" s="335"/>
      <c r="L41" s="336"/>
      <c r="P41" s="57"/>
    </row>
    <row r="42" spans="1:18" ht="15.95" customHeight="1">
      <c r="A42" s="123"/>
      <c r="B42" s="124"/>
      <c r="C42" s="179"/>
      <c r="D42" s="324">
        <f>'F1b rejet (simplifiée)'!Hs</f>
        <v>0.4</v>
      </c>
      <c r="E42" s="325"/>
      <c r="F42" s="332" t="s">
        <v>4</v>
      </c>
      <c r="G42" s="324">
        <f>'F1b rejet (simplifiée)'!Hc</f>
        <v>0.3</v>
      </c>
      <c r="H42" s="325"/>
      <c r="I42" s="328" t="s">
        <v>4</v>
      </c>
      <c r="J42" s="324">
        <f>'F1b rejet (simplifiée)'!Ho</f>
        <v>1</v>
      </c>
      <c r="K42" s="325"/>
      <c r="L42" s="330" t="s">
        <v>4</v>
      </c>
    </row>
    <row r="43" spans="1:18" ht="15.95" customHeight="1" thickBot="1">
      <c r="A43" s="123"/>
      <c r="B43" s="124"/>
      <c r="C43" s="179"/>
      <c r="D43" s="326"/>
      <c r="E43" s="327"/>
      <c r="F43" s="333"/>
      <c r="G43" s="326"/>
      <c r="H43" s="327"/>
      <c r="I43" s="329"/>
      <c r="J43" s="326"/>
      <c r="K43" s="327"/>
      <c r="L43" s="331"/>
    </row>
    <row r="44" spans="1:18" ht="15.95" customHeight="1">
      <c r="A44" s="60"/>
      <c r="B44" s="61"/>
      <c r="C44" s="102" t="s">
        <v>61</v>
      </c>
      <c r="D44" s="380">
        <f>IF(D47&lt;H47,H47,D47)</f>
        <v>706.5</v>
      </c>
      <c r="E44" s="378"/>
      <c r="F44" s="284" t="s">
        <v>62</v>
      </c>
      <c r="G44" s="382" t="str">
        <f>IF(J44&lt;=20,"Diamètre minimal","Diamètre")</f>
        <v>Diamètre</v>
      </c>
      <c r="H44" s="383"/>
      <c r="I44" s="383"/>
      <c r="J44" s="378">
        <f>SQRT(4*So/PI())</f>
        <v>29.992394675240465</v>
      </c>
      <c r="K44" s="378"/>
      <c r="L44" s="355" t="s">
        <v>60</v>
      </c>
    </row>
    <row r="45" spans="1:18" ht="15.95" customHeight="1" thickBot="1">
      <c r="A45" s="60"/>
      <c r="B45" s="61"/>
      <c r="C45" s="103"/>
      <c r="D45" s="381"/>
      <c r="E45" s="379"/>
      <c r="F45" s="285"/>
      <c r="G45" s="384"/>
      <c r="H45" s="385"/>
      <c r="I45" s="385"/>
      <c r="J45" s="379"/>
      <c r="K45" s="379"/>
      <c r="L45" s="338"/>
    </row>
    <row r="46" spans="1:18" ht="21.75" customHeight="1">
      <c r="A46" s="8"/>
      <c r="B46" s="8"/>
      <c r="C46" s="9"/>
      <c r="D46" s="10"/>
      <c r="E46" s="10"/>
      <c r="F46" s="11"/>
      <c r="G46" s="10"/>
      <c r="H46" s="10"/>
      <c r="I46" s="11"/>
      <c r="J46" s="12"/>
      <c r="K46" s="12"/>
      <c r="L46" s="11"/>
    </row>
    <row r="47" spans="1:18" ht="15.95" customHeight="1">
      <c r="A47" s="197" t="s">
        <v>98</v>
      </c>
      <c r="B47" s="197"/>
      <c r="C47" s="20" t="s">
        <v>99</v>
      </c>
      <c r="D47" s="27">
        <f>(K30/1000)/(0.6*SQRT(2*9.81*0.44*Hs))*10^6</f>
        <v>269.06931239990763</v>
      </c>
      <c r="E47" s="21" t="s">
        <v>100</v>
      </c>
      <c r="F47" s="62"/>
      <c r="G47" s="62"/>
      <c r="H47" s="24">
        <f>(3.14*0.03*0.03/4)*10^6</f>
        <v>706.5</v>
      </c>
      <c r="I47" s="21" t="s">
        <v>100</v>
      </c>
      <c r="J47" s="23"/>
      <c r="K47" s="23"/>
      <c r="L47" s="22"/>
    </row>
    <row r="48" spans="1:18" ht="15.95" customHeight="1">
      <c r="A48" s="197" t="s">
        <v>98</v>
      </c>
      <c r="B48" s="197"/>
      <c r="C48" s="20"/>
      <c r="D48" s="26" t="s">
        <v>102</v>
      </c>
      <c r="E48" s="21"/>
      <c r="F48" s="62"/>
      <c r="G48" s="62"/>
      <c r="H48" s="25" t="s">
        <v>101</v>
      </c>
      <c r="I48" s="21"/>
      <c r="J48" s="23"/>
      <c r="K48" s="23"/>
      <c r="L48" s="22"/>
    </row>
    <row r="49" spans="1:16" s="65" customFormat="1" ht="15.95" customHeight="1">
      <c r="A49" s="13"/>
      <c r="B49" s="13"/>
      <c r="C49" s="14"/>
      <c r="D49" s="15"/>
      <c r="E49" s="15"/>
      <c r="F49" s="16"/>
      <c r="G49" s="15"/>
      <c r="H49" s="15"/>
      <c r="I49" s="16"/>
      <c r="J49" s="17"/>
      <c r="K49" s="17"/>
      <c r="L49" s="16"/>
      <c r="M49" s="63"/>
      <c r="N49" s="59"/>
      <c r="O49" s="64"/>
      <c r="P49" s="30"/>
    </row>
    <row r="50" spans="1:16" s="65" customFormat="1" ht="15.95" customHeight="1">
      <c r="A50" s="323" t="str">
        <f ca="1">CONCATENATE("© Communauté Urbaine de Bordeaux - Direction de l'EAU - 2012 ", IF(YEAR(NOW())&lt;&gt;2012,YEAR(NOW()),""))</f>
        <v>© Communauté Urbaine de Bordeaux - Direction de l'EAU - 2012 2020</v>
      </c>
      <c r="B50" s="323"/>
      <c r="C50" s="323"/>
      <c r="D50" s="323"/>
      <c r="E50" s="323"/>
      <c r="F50" s="323"/>
      <c r="G50" s="323"/>
      <c r="H50" s="323"/>
      <c r="I50" s="323"/>
      <c r="J50" s="323"/>
      <c r="K50" s="323"/>
      <c r="L50" s="323"/>
      <c r="M50" s="63"/>
      <c r="N50" s="66"/>
      <c r="O50" s="67">
        <f>IF(Ho&lt;&gt;0,773*qfc/SQRT(Ho),"")</f>
        <v>0</v>
      </c>
      <c r="P50" s="30"/>
    </row>
    <row r="51" spans="1:16" s="43" customFormat="1" ht="15.95" customHeight="1">
      <c r="A51" s="31"/>
      <c r="B51" s="31"/>
      <c r="C51" s="31"/>
      <c r="D51" s="31"/>
      <c r="E51" s="31"/>
      <c r="F51" s="68"/>
      <c r="G51" s="31"/>
      <c r="H51" s="31"/>
      <c r="I51" s="68"/>
      <c r="J51" s="31"/>
      <c r="K51" s="31"/>
      <c r="L51" s="69"/>
      <c r="N51" s="70"/>
      <c r="O51" s="67"/>
      <c r="P51" s="30"/>
    </row>
    <row r="52" spans="1:16" s="71" customFormat="1" ht="15.95" customHeight="1">
      <c r="A52" s="31"/>
      <c r="B52" s="31"/>
      <c r="C52" s="31"/>
      <c r="D52" s="31"/>
      <c r="E52" s="31"/>
      <c r="F52" s="68"/>
      <c r="G52" s="31"/>
      <c r="H52" s="31"/>
      <c r="I52" s="68"/>
      <c r="J52" s="31"/>
      <c r="K52" s="31"/>
      <c r="L52" s="69"/>
      <c r="N52" s="59"/>
      <c r="O52" s="64"/>
      <c r="P52" s="30"/>
    </row>
    <row r="53" spans="1:16" s="71" customFormat="1" ht="15.95" customHeight="1">
      <c r="A53" s="31"/>
      <c r="B53" s="31"/>
      <c r="C53" s="31"/>
      <c r="D53" s="31"/>
      <c r="E53" s="31"/>
      <c r="F53" s="68"/>
      <c r="G53" s="29"/>
      <c r="H53" s="31"/>
      <c r="I53" s="68"/>
      <c r="J53" s="31"/>
      <c r="K53" s="31"/>
      <c r="L53" s="69"/>
      <c r="N53" s="59"/>
      <c r="O53" s="64"/>
      <c r="P53" s="59"/>
    </row>
    <row r="54" spans="1:16" s="43" customFormat="1" ht="15.95" customHeight="1">
      <c r="A54" s="31"/>
      <c r="B54" s="31"/>
      <c r="C54" s="31"/>
      <c r="D54" s="31"/>
      <c r="E54" s="31"/>
      <c r="F54" s="68"/>
      <c r="G54" s="31"/>
      <c r="H54" s="31"/>
      <c r="I54" s="68"/>
      <c r="J54" s="31"/>
      <c r="K54" s="31"/>
      <c r="L54" s="69"/>
      <c r="N54" s="30"/>
      <c r="O54" s="39"/>
      <c r="P54" s="59"/>
    </row>
    <row r="55" spans="1:16" ht="14.1" customHeight="1"/>
    <row r="56" spans="1:16" ht="26.1" customHeight="1">
      <c r="P56" s="59"/>
    </row>
    <row r="57" spans="1:16" ht="26.1" customHeight="1">
      <c r="P57" s="59"/>
    </row>
  </sheetData>
  <sheetProtection algorithmName="SHA-512" hashValue="q/XgVSdqYv/6HdFU2doFiD2kswDWWij4GP344con9uPb9lO1aF6iXcJ41OA0B4/bOUtl1pWbnFMlKu36eYZfQA==" saltValue="UwrP9olCs0Yg7ugRB0aSjw==" spinCount="100000" sheet="1"/>
  <mergeCells count="105">
    <mergeCell ref="C44:C45"/>
    <mergeCell ref="J44:K45"/>
    <mergeCell ref="D44:E45"/>
    <mergeCell ref="F44:F45"/>
    <mergeCell ref="G44:I45"/>
    <mergeCell ref="L44:L45"/>
    <mergeCell ref="D37:F38"/>
    <mergeCell ref="D23:E23"/>
    <mergeCell ref="L30:L31"/>
    <mergeCell ref="J30:J31"/>
    <mergeCell ref="D29:I29"/>
    <mergeCell ref="A30:C31"/>
    <mergeCell ref="D25:I26"/>
    <mergeCell ref="G30:H31"/>
    <mergeCell ref="G36:I36"/>
    <mergeCell ref="J25:K26"/>
    <mergeCell ref="A24:L24"/>
    <mergeCell ref="D35:F36"/>
    <mergeCell ref="C33:C34"/>
    <mergeCell ref="F30:F31"/>
    <mergeCell ref="A27:C27"/>
    <mergeCell ref="D27:L27"/>
    <mergeCell ref="N1:O3"/>
    <mergeCell ref="J22:L22"/>
    <mergeCell ref="L18:L19"/>
    <mergeCell ref="J20:L21"/>
    <mergeCell ref="L14:L15"/>
    <mergeCell ref="A1:L3"/>
    <mergeCell ref="B7:L7"/>
    <mergeCell ref="G13:I13"/>
    <mergeCell ref="D13:F13"/>
    <mergeCell ref="A12:C13"/>
    <mergeCell ref="J13:L13"/>
    <mergeCell ref="B16:C17"/>
    <mergeCell ref="B18:C19"/>
    <mergeCell ref="J9:L9"/>
    <mergeCell ref="B10:B11"/>
    <mergeCell ref="B14:C15"/>
    <mergeCell ref="D14:E15"/>
    <mergeCell ref="G18:H19"/>
    <mergeCell ref="G22:I22"/>
    <mergeCell ref="D22:F22"/>
    <mergeCell ref="G16:H17"/>
    <mergeCell ref="D12:F12"/>
    <mergeCell ref="G12:I12"/>
    <mergeCell ref="N4:P6"/>
    <mergeCell ref="A50:L50"/>
    <mergeCell ref="G42:H43"/>
    <mergeCell ref="I42:I43"/>
    <mergeCell ref="J42:K43"/>
    <mergeCell ref="L42:L43"/>
    <mergeCell ref="D42:E43"/>
    <mergeCell ref="F42:F43"/>
    <mergeCell ref="C39:C43"/>
    <mergeCell ref="D41:F41"/>
    <mergeCell ref="A33:B43"/>
    <mergeCell ref="G41:I41"/>
    <mergeCell ref="J41:L41"/>
    <mergeCell ref="L37:L38"/>
    <mergeCell ref="D39:F40"/>
    <mergeCell ref="G39:I40"/>
    <mergeCell ref="J39:L40"/>
    <mergeCell ref="G37:I38"/>
    <mergeCell ref="J37:K38"/>
    <mergeCell ref="A47:B47"/>
    <mergeCell ref="A48:B48"/>
    <mergeCell ref="C35:C38"/>
    <mergeCell ref="J35:L35"/>
    <mergeCell ref="J36:L36"/>
    <mergeCell ref="G35:I35"/>
    <mergeCell ref="A8:L8"/>
    <mergeCell ref="A20:C23"/>
    <mergeCell ref="F16:F17"/>
    <mergeCell ref="J23:K23"/>
    <mergeCell ref="J18:K19"/>
    <mergeCell ref="A14:A19"/>
    <mergeCell ref="I14:I15"/>
    <mergeCell ref="F14:F15"/>
    <mergeCell ref="J16:K17"/>
    <mergeCell ref="G14:H15"/>
    <mergeCell ref="J12:L12"/>
    <mergeCell ref="A6:A7"/>
    <mergeCell ref="B6:L6"/>
    <mergeCell ref="C9:F9"/>
    <mergeCell ref="G10:I11"/>
    <mergeCell ref="G9:I9"/>
    <mergeCell ref="J10:L11"/>
    <mergeCell ref="D33:I34"/>
    <mergeCell ref="I16:I17"/>
    <mergeCell ref="I18:I19"/>
    <mergeCell ref="D16:E17"/>
    <mergeCell ref="D18:E19"/>
    <mergeCell ref="I30:I31"/>
    <mergeCell ref="A32:L32"/>
    <mergeCell ref="A25:C26"/>
    <mergeCell ref="D20:F21"/>
    <mergeCell ref="G20:I21"/>
    <mergeCell ref="D30:E31"/>
    <mergeCell ref="K30:K31"/>
    <mergeCell ref="G23:H23"/>
    <mergeCell ref="J14:K15"/>
    <mergeCell ref="L16:L17"/>
    <mergeCell ref="A10:A11"/>
    <mergeCell ref="C10:F10"/>
    <mergeCell ref="C11:F11"/>
  </mergeCells>
  <phoneticPr fontId="1" type="noConversion"/>
  <conditionalFormatting sqref="J37:K38">
    <cfRule type="cellIs" dxfId="1" priority="1" stopIfTrue="1" operator="lessThan">
      <formula>#REF!</formula>
    </cfRule>
  </conditionalFormatting>
  <conditionalFormatting sqref="A28:C29">
    <cfRule type="expression" dxfId="0" priority="2" stopIfTrue="1">
      <formula>#REF!=FALSE()</formula>
    </cfRule>
  </conditionalFormatting>
  <dataValidations count="10">
    <dataValidation type="decimal" operator="greaterThanOrEqual" allowBlank="1" showInputMessage="1" showErrorMessage="1" sqref="J42:K43" xr:uid="{00000000-0002-0000-0200-000000000000}">
      <formula1>D42</formula1>
    </dataValidation>
    <dataValidation type="list" allowBlank="1" showInputMessage="1" showErrorMessage="1" sqref="G37:I38" xr:uid="{00000000-0002-0000-0200-000001000000}">
      <formula1>"1,0.95,0.9,0.85,0.8,0.75,0.7,0.65,0.6,0.55,0.5,0.45,0.4,0.35,0.3"</formula1>
    </dataValidation>
    <dataValidation type="list" allowBlank="1" showInputMessage="1" showErrorMessage="1" sqref="D37:F38" xr:uid="{00000000-0002-0000-0200-000002000000}">
      <formula1>"diorite 40/70,alvéolaire,autre,sans"</formula1>
    </dataValidation>
    <dataValidation type="decimal" operator="greaterThanOrEqual" allowBlank="1" showInputMessage="1" showErrorMessage="1" sqref="G42:H43" xr:uid="{00000000-0002-0000-0200-000003000000}">
      <formula1>0.1</formula1>
    </dataValidation>
    <dataValidation operator="greaterThanOrEqual" allowBlank="1" showInputMessage="1" showErrorMessage="1" sqref="J37:K38" xr:uid="{00000000-0002-0000-0200-000004000000}"/>
    <dataValidation operator="lessThan" allowBlank="1" showInputMessage="1" showErrorMessage="1" sqref="D42:E43" xr:uid="{00000000-0002-0000-0200-000005000000}"/>
    <dataValidation type="list" allowBlank="1" showInputMessage="1" showErrorMessage="1" sqref="D33:I34" xr:uid="{00000000-0002-0000-0200-000006000000}">
      <formula1>"Structure réservoir,Bassin,Canalisation surdimensionnée,Noue,Tranchée drainante"</formula1>
    </dataValidation>
    <dataValidation type="list" allowBlank="1" showInputMessage="1" showErrorMessage="1" sqref="J28:K29" xr:uid="{00000000-0002-0000-0200-000007000000}">
      <formula1>"Gestion globale,Gestion indépendante"</formula1>
    </dataValidation>
    <dataValidation type="whole" operator="greaterThanOrEqual" allowBlank="1" showInputMessage="1" showErrorMessage="1" sqref="I18 I14 H14:H17 G14:G18 I16" xr:uid="{00000000-0002-0000-0200-000008000000}">
      <formula1>0</formula1>
    </dataValidation>
    <dataValidation type="list" allowBlank="1" showInputMessage="1" showErrorMessage="1" sqref="J10:L11" xr:uid="{00000000-0002-0000-0200-000009000000}">
      <formula1>$P$12:$P$38</formula1>
    </dataValidation>
  </dataValidations>
  <printOptions horizontalCentered="1" verticalCentered="1"/>
  <pageMargins left="0.39370078740157483" right="0.39370078740157483" top="0.39370078740157483" bottom="0.39370078740157483" header="0.19685039370078741" footer="0.51181102362204722"/>
  <pageSetup paperSize="9" scale="65" orientation="portrait" verticalDpi="4" r:id="rId1"/>
  <headerFooter alignWithMargins="0"/>
  <drawing r:id="rId2"/>
  <legacyDrawing r:id="rId3"/>
  <webPublishItems count="1">
    <webPublishItem id="5763" divId="Fiche 1- Feuilles de saisie_5763" sourceType="printArea" destinationFile="D:\Documents and Settings\jjsigaud\Bureau\Page.htm"/>
  </webPublishItem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6E78717A65D14290C3E4AF92E14A55" ma:contentTypeVersion="13" ma:contentTypeDescription="Crée un document." ma:contentTypeScope="" ma:versionID="d4fabf4065b237e3631265d0706425b2">
  <xsd:schema xmlns:xsd="http://www.w3.org/2001/XMLSchema" xmlns:xs="http://www.w3.org/2001/XMLSchema" xmlns:p="http://schemas.microsoft.com/office/2006/metadata/properties" xmlns:ns2="ec7eca07-e32e-459d-81ac-217dece79520" xmlns:ns3="e2329f42-97ad-4d59-82a1-8ceab23f38e2" targetNamespace="http://schemas.microsoft.com/office/2006/metadata/properties" ma:root="true" ma:fieldsID="5d30a5b65c316686ad264e4c19f1af19" ns2:_="" ns3:_="">
    <xsd:import namespace="ec7eca07-e32e-459d-81ac-217dece79520"/>
    <xsd:import namespace="e2329f42-97ad-4d59-82a1-8ceab23f38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7eca07-e32e-459d-81ac-217dece795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2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Balises d’images" ma:readOnly="false" ma:fieldId="{5cf76f15-5ced-4ddc-b409-7134ff3c332f}" ma:taxonomyMulti="true" ma:sspId="63ec68f7-4221-4349-bfcd-67a6e0f7fa5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329f42-97ad-4d59-82a1-8ceab23f38e2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cc0c956b-f255-42f2-9439-e3f1c8c933b7}" ma:internalName="TaxCatchAll" ma:showField="CatchAllData" ma:web="e2329f42-97ad-4d59-82a1-8ceab23f38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2329f42-97ad-4d59-82a1-8ceab23f38e2" xsi:nil="true"/>
    <lcf76f155ced4ddcb4097134ff3c332f xmlns="ec7eca07-e32e-459d-81ac-217dece7952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1F3EC3C-FA47-442C-AE23-DA5D44316E5B}"/>
</file>

<file path=customXml/itemProps2.xml><?xml version="1.0" encoding="utf-8"?>
<ds:datastoreItem xmlns:ds="http://schemas.openxmlformats.org/officeDocument/2006/customXml" ds:itemID="{3FFCC1F1-072B-4B6E-BE46-944C3F4F35FF}"/>
</file>

<file path=customXml/itemProps3.xml><?xml version="1.0" encoding="utf-8"?>
<ds:datastoreItem xmlns:ds="http://schemas.openxmlformats.org/officeDocument/2006/customXml" ds:itemID="{44F9391D-EFFB-4FAD-8236-ED2366ABC80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44</vt:i4>
      </vt:variant>
    </vt:vector>
  </HeadingPairs>
  <TitlesOfParts>
    <vt:vector size="47" baseType="lpstr">
      <vt:lpstr>Données</vt:lpstr>
      <vt:lpstr>F1b rejet (simplifiée)</vt:lpstr>
      <vt:lpstr>old</vt:lpstr>
      <vt:lpstr>'F1b rejet (simplifiée)'!Cq</vt:lpstr>
      <vt:lpstr>Cq</vt:lpstr>
      <vt:lpstr>'F1b rejet (simplifiée)'!cqmax</vt:lpstr>
      <vt:lpstr>cqmax</vt:lpstr>
      <vt:lpstr>'F1b rejet (simplifiée)'!date</vt:lpstr>
      <vt:lpstr>date</vt:lpstr>
      <vt:lpstr>'F1b rejet (simplifiée)'!Hc</vt:lpstr>
      <vt:lpstr>Hc</vt:lpstr>
      <vt:lpstr>'F1b rejet (simplifiée)'!Ho</vt:lpstr>
      <vt:lpstr>Ho</vt:lpstr>
      <vt:lpstr>'F1b rejet (simplifiée)'!Hs</vt:lpstr>
      <vt:lpstr>Hs</vt:lpstr>
      <vt:lpstr>'F1b rejet (simplifiée)'!Iv</vt:lpstr>
      <vt:lpstr>Iv</vt:lpstr>
      <vt:lpstr>'F1b rejet (simplifiée)'!Marée</vt:lpstr>
      <vt:lpstr>Marée</vt:lpstr>
      <vt:lpstr>'F1b rejet (simplifiée)'!qf</vt:lpstr>
      <vt:lpstr>qf</vt:lpstr>
      <vt:lpstr>'F1b rejet (simplifiée)'!qfc</vt:lpstr>
      <vt:lpstr>qfc</vt:lpstr>
      <vt:lpstr>'F1b rejet (simplifiée)'!Qfmax</vt:lpstr>
      <vt:lpstr>Qfmax</vt:lpstr>
      <vt:lpstr>'F1b rejet (simplifiée)'!Qfx</vt:lpstr>
      <vt:lpstr>Qfx</vt:lpstr>
      <vt:lpstr>'F1b rejet (simplifiée)'!Qgen</vt:lpstr>
      <vt:lpstr>Qgen</vt:lpstr>
      <vt:lpstr>'F1b rejet (simplifiée)'!Qmar</vt:lpstr>
      <vt:lpstr>Qmar</vt:lpstr>
      <vt:lpstr>'F1b rejet (simplifiée)'!qmini</vt:lpstr>
      <vt:lpstr>qmini</vt:lpstr>
      <vt:lpstr>'F1b rejet (simplifiée)'!Sa</vt:lpstr>
      <vt:lpstr>Sa</vt:lpstr>
      <vt:lpstr>'F1b rejet (simplifiée)'!Sap</vt:lpstr>
      <vt:lpstr>Sap</vt:lpstr>
      <vt:lpstr>'F1b rejet (simplifiée)'!Sc</vt:lpstr>
      <vt:lpstr>Sc</vt:lpstr>
      <vt:lpstr>'F1b rejet (simplifiée)'!So</vt:lpstr>
      <vt:lpstr>So</vt:lpstr>
      <vt:lpstr>'F1b rejet (simplifiée)'!St</vt:lpstr>
      <vt:lpstr>St</vt:lpstr>
      <vt:lpstr>'F1b rejet (simplifiée)'!Vuc</vt:lpstr>
      <vt:lpstr>Vuc</vt:lpstr>
      <vt:lpstr>'F1b rejet (simplifiée)'!Zone_d_impression</vt:lpstr>
      <vt:lpstr>old!Zone_d_impression</vt:lpstr>
    </vt:vector>
  </TitlesOfParts>
  <Company>CUB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Fiche 1 - Feuille de saisie infiltration</dc:title>
  <dc:subject>Guide des solutions compensatoires</dc:subject>
  <dc:creator>jjsigaud</dc:creator>
  <cp:lastModifiedBy>btaupin</cp:lastModifiedBy>
  <cp:lastPrinted>2012-03-30T13:12:04Z</cp:lastPrinted>
  <dcterms:created xsi:type="dcterms:W3CDTF">2012-02-07T10:31:46Z</dcterms:created>
  <dcterms:modified xsi:type="dcterms:W3CDTF">2020-09-07T07:34:53Z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2.0</vt:lpwstr>
  </property>
  <property fmtid="{D5CDD505-2E9C-101B-9397-08002B2CF9AE}" pid="3" name="Date" linkTarget="date">
    <vt:filetime>2020-09-07T07:34:49Z</vt:filetime>
  </property>
  <property fmtid="{D5CDD505-2E9C-101B-9397-08002B2CF9AE}" pid="4" name="ContentTypeId">
    <vt:lpwstr>0x010100836E78717A65D14290C3E4AF92E14A55</vt:lpwstr>
  </property>
  <property fmtid="{D5CDD505-2E9C-101B-9397-08002B2CF9AE}" pid="5" name="Order">
    <vt:r8>100</vt:r8>
  </property>
  <property fmtid="{D5CDD505-2E9C-101B-9397-08002B2CF9AE}" pid="6" name="MediaServiceImageTags">
    <vt:lpwstr/>
  </property>
</Properties>
</file>