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Bm\C\CA\CAE\03-SPT\TE12-CENTRE ETUDES\7-DAO-TRAVAUX DIVERS\20200907_Infiltrations_Calculs\"/>
    </mc:Choice>
  </mc:AlternateContent>
  <xr:revisionPtr revIDLastSave="0" documentId="13_ncr:1_{FDDCFAEE-FB1C-41D9-9D84-8C208182ECD5}" xr6:coauthVersionLast="46" xr6:coauthVersionMax="46" xr10:uidLastSave="{00000000-0000-0000-0000-000000000000}"/>
  <bookViews>
    <workbookView xWindow="-120" yWindow="-120" windowWidth="38640" windowHeight="21240" firstSheet="2" activeTab="2" xr2:uid="{00000000-000D-0000-FFFF-FFFF00000000}"/>
  </bookViews>
  <sheets>
    <sheet name="Données" sheetId="6" state="hidden" r:id="rId1"/>
    <sheet name="F1a infiltration" sheetId="5" state="hidden" r:id="rId2"/>
    <sheet name="F1a infiltration (lignes masq)" sheetId="9" r:id="rId3"/>
  </sheets>
  <definedNames>
    <definedName name="Ca">#REF!</definedName>
    <definedName name="Cs" localSheetId="2">'F1a infiltration (lignes masq)'!$L$34</definedName>
    <definedName name="Cs">'F1a infiltration'!$L$34</definedName>
    <definedName name="Hc" localSheetId="2">'F1a infiltration (lignes masq)'!$G$65</definedName>
    <definedName name="Hc">'F1a infiltration'!$G$65</definedName>
    <definedName name="Hs" localSheetId="2">'F1a infiltration (lignes masq)'!$D$65</definedName>
    <definedName name="Hs">'F1a infiltration'!$D$65</definedName>
    <definedName name="Iv" localSheetId="2">'F1a infiltration (lignes masq)'!$G$60</definedName>
    <definedName name="Iv">'F1a infiltration'!$G$60</definedName>
    <definedName name="K" localSheetId="2">'F1a infiltration (lignes masq)'!$J$26</definedName>
    <definedName name="K">'F1a infiltration'!$J$26</definedName>
    <definedName name="Pn" localSheetId="2">'F1a infiltration (lignes masq)'!$J$28</definedName>
    <definedName name="Pn">'F1a infiltration'!$J$28</definedName>
    <definedName name="Qi" localSheetId="2">'F1a infiltration (lignes masq)'!$G$44</definedName>
    <definedName name="Qi">'F1a infiltration'!$G$44</definedName>
    <definedName name="recu">#REF!</definedName>
    <definedName name="Sa" localSheetId="2">'F1a infiltration (lignes masq)'!$J$23</definedName>
    <definedName name="Sa">'F1a infiltration'!$J$23</definedName>
    <definedName name="Sa_total" localSheetId="2">'F1a infiltration (lignes masq)'!$J$42</definedName>
    <definedName name="Sa_total">'F1a infiltration'!$J$42</definedName>
    <definedName name="Si" localSheetId="2">'F1a infiltration (lignes masq)'!$J$40</definedName>
    <definedName name="Si">'F1a infiltration'!$J$40</definedName>
    <definedName name="smini10">#REF!</definedName>
    <definedName name="St">#REF!</definedName>
    <definedName name="Vu" localSheetId="2">'F1a infiltration (lignes masq)'!$J$50</definedName>
    <definedName name="Vu">'F1a infiltration'!$J$50</definedName>
    <definedName name="_xlnm.Print_Area" localSheetId="1">'F1a infiltration'!$A$1:$L$70</definedName>
    <definedName name="_xlnm.Print_Area" localSheetId="2">'F1a infiltration (lignes masq)'!$A$1:$L$70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5" l="1"/>
  <c r="J65" i="9" l="1"/>
  <c r="D65" i="5"/>
  <c r="G65" i="5" l="1"/>
  <c r="A70" i="9" l="1"/>
  <c r="G27" i="9" l="1"/>
  <c r="J26" i="9" s="1"/>
  <c r="A10" i="9"/>
  <c r="J14" i="9"/>
  <c r="J16" i="9"/>
  <c r="J18" i="9"/>
  <c r="G23" i="9"/>
  <c r="G23" i="5"/>
  <c r="G27" i="5"/>
  <c r="J26" i="5"/>
  <c r="G44" i="5" s="1"/>
  <c r="J14" i="5"/>
  <c r="J16" i="5"/>
  <c r="J18" i="5"/>
  <c r="C1" i="6"/>
  <c r="D64" i="9" s="1"/>
  <c r="A10" i="5"/>
  <c r="H7" i="6"/>
  <c r="H9" i="6" s="1"/>
  <c r="G5" i="6"/>
  <c r="G6" i="6" s="1"/>
  <c r="H5" i="6"/>
  <c r="H6" i="6" s="1"/>
  <c r="G11" i="6"/>
  <c r="P5" i="6"/>
  <c r="P6" i="6" s="1"/>
  <c r="P12" i="6" s="1"/>
  <c r="P7" i="6"/>
  <c r="P8" i="6" s="1"/>
  <c r="D5" i="6"/>
  <c r="D6" i="6" s="1"/>
  <c r="E5" i="6"/>
  <c r="E6" i="6" s="1"/>
  <c r="F5" i="6"/>
  <c r="F6" i="6" s="1"/>
  <c r="F13" i="6" s="1"/>
  <c r="I5" i="6"/>
  <c r="I6" i="6"/>
  <c r="I14" i="6" s="1"/>
  <c r="J5" i="6"/>
  <c r="J6" i="6" s="1"/>
  <c r="K5" i="6"/>
  <c r="K6" i="6" s="1"/>
  <c r="L5" i="6"/>
  <c r="L6" i="6" s="1"/>
  <c r="M5" i="6"/>
  <c r="M6" i="6" s="1"/>
  <c r="M13" i="6" s="1"/>
  <c r="N5" i="6"/>
  <c r="N6" i="6" s="1"/>
  <c r="O5" i="6"/>
  <c r="O6" i="6" s="1"/>
  <c r="Q5" i="6"/>
  <c r="Q6" i="6" s="1"/>
  <c r="R5" i="6"/>
  <c r="R6" i="6" s="1"/>
  <c r="R12" i="6" s="1"/>
  <c r="S5" i="6"/>
  <c r="S6" i="6" s="1"/>
  <c r="S14" i="6" s="1"/>
  <c r="T5" i="6"/>
  <c r="T6" i="6" s="1"/>
  <c r="U5" i="6"/>
  <c r="U6" i="6" s="1"/>
  <c r="U13" i="6" s="1"/>
  <c r="C5" i="6"/>
  <c r="C6" i="6" s="1"/>
  <c r="C13" i="6" s="1"/>
  <c r="A70" i="5"/>
  <c r="K7" i="6"/>
  <c r="K8" i="6" s="1"/>
  <c r="D7" i="6"/>
  <c r="D8" i="6" s="1"/>
  <c r="E7" i="6"/>
  <c r="E8" i="6" s="1"/>
  <c r="F7" i="6"/>
  <c r="F8" i="6" s="1"/>
  <c r="G7" i="6"/>
  <c r="G8" i="6" s="1"/>
  <c r="I7" i="6"/>
  <c r="I8" i="6" s="1"/>
  <c r="J7" i="6"/>
  <c r="J8" i="6" s="1"/>
  <c r="L7" i="6"/>
  <c r="L8" i="6" s="1"/>
  <c r="M7" i="6"/>
  <c r="M8" i="6" s="1"/>
  <c r="N7" i="6"/>
  <c r="N8" i="6" s="1"/>
  <c r="O7" i="6"/>
  <c r="O8" i="6" s="1"/>
  <c r="Q7" i="6"/>
  <c r="Q8" i="6" s="1"/>
  <c r="R7" i="6"/>
  <c r="R8" i="6" s="1"/>
  <c r="S7" i="6"/>
  <c r="S8" i="6" s="1"/>
  <c r="T7" i="6"/>
  <c r="T8" i="6" s="1"/>
  <c r="U7" i="6"/>
  <c r="U8" i="6" s="1"/>
  <c r="C7" i="6"/>
  <c r="C8" i="6" s="1"/>
  <c r="J65" i="5"/>
  <c r="J23" i="5" l="1"/>
  <c r="J23" i="9"/>
  <c r="J42" i="9" s="1"/>
  <c r="P13" i="6"/>
  <c r="F14" i="6"/>
  <c r="P14" i="6"/>
  <c r="M12" i="6"/>
  <c r="M14" i="6"/>
  <c r="K14" i="6"/>
  <c r="K12" i="6"/>
  <c r="K13" i="6"/>
  <c r="E12" i="6"/>
  <c r="E14" i="6"/>
  <c r="E13" i="6"/>
  <c r="D14" i="6"/>
  <c r="D13" i="6"/>
  <c r="J14" i="6"/>
  <c r="J13" i="6"/>
  <c r="J12" i="6"/>
  <c r="Q13" i="6"/>
  <c r="Q14" i="6"/>
  <c r="Q12" i="6"/>
  <c r="O13" i="6"/>
  <c r="O14" i="6"/>
  <c r="T13" i="6"/>
  <c r="T14" i="6"/>
  <c r="S12" i="6"/>
  <c r="G10" i="6"/>
  <c r="S13" i="6"/>
  <c r="I12" i="6"/>
  <c r="H11" i="6"/>
  <c r="M15" i="6"/>
  <c r="M18" i="6" s="1"/>
  <c r="C14" i="6"/>
  <c r="G44" i="9"/>
  <c r="J46" i="9" s="1"/>
  <c r="K44" i="5"/>
  <c r="J46" i="5"/>
  <c r="D23" i="5"/>
  <c r="J42" i="5"/>
  <c r="H12" i="6"/>
  <c r="H14" i="6"/>
  <c r="H13" i="6"/>
  <c r="H10" i="6"/>
  <c r="L15" i="6"/>
  <c r="L18" i="6" s="1"/>
  <c r="L12" i="6"/>
  <c r="L14" i="6"/>
  <c r="L16" i="6"/>
  <c r="L13" i="6"/>
  <c r="G12" i="6"/>
  <c r="G13" i="6"/>
  <c r="G9" i="6"/>
  <c r="B9" i="6" s="1"/>
  <c r="G14" i="6"/>
  <c r="N12" i="6"/>
  <c r="N14" i="6"/>
  <c r="N13" i="6"/>
  <c r="D18" i="6"/>
  <c r="I18" i="6"/>
  <c r="F12" i="6"/>
  <c r="H18" i="6"/>
  <c r="R13" i="6"/>
  <c r="U14" i="6"/>
  <c r="O18" i="6"/>
  <c r="R14" i="6"/>
  <c r="C18" i="6"/>
  <c r="K15" i="6"/>
  <c r="K18" i="6" s="1"/>
  <c r="J18" i="6"/>
  <c r="K16" i="6"/>
  <c r="R18" i="6"/>
  <c r="N18" i="6"/>
  <c r="G18" i="6"/>
  <c r="H8" i="6"/>
  <c r="F18" i="6"/>
  <c r="O12" i="6"/>
  <c r="I13" i="6"/>
  <c r="T18" i="6"/>
  <c r="E18" i="6"/>
  <c r="P18" i="6"/>
  <c r="S18" i="6"/>
  <c r="Q18" i="6"/>
  <c r="U18" i="6"/>
  <c r="M16" i="6"/>
  <c r="D64" i="5"/>
  <c r="J38" i="9" l="1"/>
  <c r="D23" i="9"/>
  <c r="J48" i="9"/>
  <c r="J50" i="9" s="1"/>
  <c r="G52" i="9" s="1"/>
  <c r="K52" i="9" s="1"/>
  <c r="K44" i="9"/>
  <c r="J48" i="5"/>
  <c r="J50" i="5"/>
  <c r="J38" i="5"/>
  <c r="J60" i="9" l="1"/>
  <c r="J60" i="5"/>
  <c r="G52" i="5"/>
  <c r="K5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jjsigaud</author>
  </authors>
  <commentList>
    <comment ref="J10" authorId="0" shapeId="0" xr:uid="{00000000-0006-0000-0100-000001000000}">
      <text>
        <r>
          <rPr>
            <sz val="8"/>
            <color indexed="81"/>
            <rFont val="Tahoma"/>
          </rPr>
          <t>Choix dans liste déroulante</t>
        </r>
      </text>
    </comment>
    <comment ref="B26" authorId="0" shapeId="0" xr:uid="{00000000-0006-0000-0100-000002000000}">
      <text>
        <r>
          <rPr>
            <sz val="8"/>
            <color indexed="81"/>
            <rFont val="Tahoma"/>
          </rPr>
          <t xml:space="preserve">Il faut retenir la valeur du test le plus proche de l'implantation de l'ouvrage et en cas de tests hétérogènes, le plus défavorable.
</t>
        </r>
      </text>
    </comment>
    <comment ref="J26" authorId="0" shapeId="0" xr:uid="{00000000-0006-0000-0100-000003000000}">
      <text>
        <r>
          <rPr>
            <sz val="8"/>
            <color indexed="81"/>
            <rFont val="Tahoma"/>
          </rPr>
          <t xml:space="preserve">Le coefficient de perméabilité doit être saisi en mètre par seconde.
Si la valeur est connue en millimètre par heure utiliser la calculette de gauche pour effectuer la convertion et recopier le résultat.
</t>
        </r>
      </text>
    </comment>
    <comment ref="B28" authorId="0" shapeId="0" xr:uid="{00000000-0006-0000-0100-000004000000}">
      <text>
        <r>
          <rPr>
            <sz val="8"/>
            <color indexed="81"/>
            <rFont val="Tahoma"/>
          </rPr>
          <t xml:space="preserve">C'est la valeur mesurée en période de nappe haute; elle ne doit pas 
être inférieure à 1 mètre.
Dans le cas contraire il faut choisir un autre mode de gestion des eaux de pluie.
</t>
        </r>
      </text>
    </comment>
    <comment ref="A31" authorId="0" shapeId="0" xr:uid="{00000000-0006-0000-0100-000005000000}">
      <text>
        <r>
          <rPr>
            <sz val="8"/>
            <color indexed="81"/>
            <rFont val="Tahoma"/>
          </rPr>
          <t xml:space="preserve">Fixée à minima à 10 ans 
</t>
        </r>
      </text>
    </comment>
    <comment ref="A33" authorId="0" shapeId="0" xr:uid="{00000000-0006-0000-0100-000006000000}">
      <text>
        <r>
          <rPr>
            <sz val="8"/>
            <color indexed="81"/>
            <rFont val="Tahoma"/>
          </rPr>
          <t>Le coefficient de sécurité est fixé à une valeur de 5.</t>
        </r>
      </text>
    </comment>
    <comment ref="A36" authorId="0" shapeId="0" xr:uid="{00000000-0006-0000-0100-000007000000}">
      <text>
        <r>
          <rPr>
            <sz val="8"/>
            <color indexed="81"/>
            <rFont val="Tahoma"/>
          </rPr>
          <t xml:space="preserve">Pour les ouvrages enterrés sous espace vert on considère que la couverture est imperméable au dessus de 50 cm.
</t>
        </r>
      </text>
    </comment>
    <comment ref="D36" authorId="0" shapeId="0" xr:uid="{00000000-0006-0000-0100-000008000000}">
      <text>
        <r>
          <rPr>
            <sz val="8"/>
            <color indexed="81"/>
            <rFont val="Tahoma"/>
          </rPr>
          <t>Choix dans liste déroulante</t>
        </r>
      </text>
    </comment>
    <comment ref="A38" authorId="0" shapeId="0" xr:uid="{00000000-0006-0000-0100-000009000000}">
      <text>
        <r>
          <rPr>
            <sz val="8"/>
            <color indexed="81"/>
            <rFont val="Tahoma"/>
          </rPr>
          <t xml:space="preserve">Cette valeur représente la limite inférieure de la surface d'infiltration mais peut-être insuffisante pour assurer la vidange totale de l'ouvrage en moins de 24 heures.
</t>
        </r>
      </text>
    </comment>
    <comment ref="A40" authorId="0" shapeId="0" xr:uid="{00000000-0006-0000-0100-00000A000000}">
      <text>
        <r>
          <rPr>
            <sz val="8"/>
            <color indexed="81"/>
            <rFont val="Tahoma"/>
          </rPr>
          <t>Surface calculée selon le type d'ouvrage :
- surface du fond pour les bassins et structures réservoir,
- surface au miroir pour les noues,
- demi surface latérale pour les tranchées et puisards.</t>
        </r>
      </text>
    </comment>
    <comment ref="J40" authorId="0" shapeId="0" xr:uid="{00000000-0006-0000-0100-00000B000000}">
      <text>
        <r>
          <rPr>
            <sz val="8"/>
            <color indexed="81"/>
            <rFont val="Tahoma"/>
          </rPr>
          <t xml:space="preserve">La valeur ne peut être inférieure à la surface minimale. Il est recommandé que la surface d'infiltration permette d'assurer une durée de vidange inférieure à 24 h.
</t>
        </r>
      </text>
    </comment>
    <comment ref="A42" authorId="0" shapeId="0" xr:uid="{00000000-0006-0000-0100-00000C000000}">
      <text>
        <r>
          <rPr>
            <sz val="8"/>
            <color indexed="81"/>
            <rFont val="Tahoma"/>
          </rPr>
          <t xml:space="preserve">Surface active augmentée de la surface d'infiltration pour les ouvrages situés sous une surface perméable ou à ciel ouvert.
</t>
        </r>
      </text>
    </comment>
    <comment ref="A48" authorId="0" shapeId="0" xr:uid="{00000000-0006-0000-0100-00000D000000}">
      <text>
        <r>
          <rPr>
            <sz val="8"/>
            <color indexed="81"/>
            <rFont val="Tahoma"/>
          </rPr>
          <t>Cette valeurcorrespond au volume à stocker pour une pluie d'une heure.
Le volume à réaliser ne peut être inférieur quelle que soit la surface d'infiltration, s</t>
        </r>
        <r>
          <rPr>
            <sz val="8"/>
            <color indexed="57"/>
            <rFont val="Tahoma"/>
            <family val="2"/>
          </rPr>
          <t>oit 28mm pour une pluie 1h décennale</t>
        </r>
      </text>
    </comment>
    <comment ref="D60" authorId="0" shapeId="0" xr:uid="{00000000-0006-0000-0100-00000E000000}">
      <text>
        <r>
          <rPr>
            <sz val="8"/>
            <color indexed="81"/>
            <rFont val="Tahoma"/>
            <family val="2"/>
          </rPr>
          <t>Choix dans liste déroulante</t>
        </r>
        <r>
          <rPr>
            <sz val="8"/>
            <color indexed="81"/>
            <rFont val="Tahoma"/>
          </rPr>
          <t xml:space="preserve">
</t>
        </r>
      </text>
    </comment>
    <comment ref="G60" authorId="0" shapeId="0" xr:uid="{00000000-0006-0000-0100-00000F000000}">
      <text>
        <r>
          <rPr>
            <sz val="8"/>
            <color indexed="81"/>
            <rFont val="Tahoma"/>
          </rPr>
          <t xml:space="preserve">Choix dans liste déroulante
</t>
        </r>
      </text>
    </comment>
    <comment ref="G65" authorId="0" shapeId="0" xr:uid="{00000000-0006-0000-0100-000010000000}">
      <text>
        <r>
          <rPr>
            <sz val="8"/>
            <color indexed="81"/>
            <rFont val="Tahoma"/>
          </rPr>
          <t xml:space="preserve">L' épaisseur varie selon le type d'ouvrage et le revêtement. Elle est au minimum de 30 cm pour un bassin à ciel ouvert et de 10 cm dans les autres cas.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jjsigaud</author>
  </authors>
  <commentList>
    <comment ref="J10" authorId="0" shapeId="0" xr:uid="{00000000-0006-0000-0200-000001000000}">
      <text>
        <r>
          <rPr>
            <sz val="8"/>
            <color indexed="81"/>
            <rFont val="Tahoma"/>
          </rPr>
          <t>Choix dans liste déroulante</t>
        </r>
      </text>
    </comment>
    <comment ref="B26" authorId="0" shapeId="0" xr:uid="{00000000-0006-0000-0200-000002000000}">
      <text>
        <r>
          <rPr>
            <sz val="8"/>
            <color indexed="81"/>
            <rFont val="Tahoma"/>
          </rPr>
          <t xml:space="preserve">Il faut retenir la valeur du test le plus proche de l'implantation de l'ouvrage et en cas de tests hétérogènes, le plus défavorable.
</t>
        </r>
      </text>
    </comment>
    <comment ref="J26" authorId="0" shapeId="0" xr:uid="{00000000-0006-0000-0200-000003000000}">
      <text>
        <r>
          <rPr>
            <sz val="8"/>
            <color indexed="81"/>
            <rFont val="Tahoma"/>
          </rPr>
          <t xml:space="preserve">Le coefficient de perméabilité doit être saisi en mètre par seconde.
Si la valeur est connue en millimètre par heure utiliser la calculette de gauche pour effectuer la convertion et recopier le résultat.
</t>
        </r>
      </text>
    </comment>
    <comment ref="B28" authorId="0" shapeId="0" xr:uid="{00000000-0006-0000-0200-000004000000}">
      <text>
        <r>
          <rPr>
            <sz val="8"/>
            <color indexed="81"/>
            <rFont val="Tahoma"/>
          </rPr>
          <t xml:space="preserve">C'est la valeur mesurée en période de nappe haute; elle ne doit pas 
être inférieure à 1 mètre.
Dans le cas contraire il faut choisir un autre mode de gestion des eaux de pluie.
</t>
        </r>
      </text>
    </comment>
    <comment ref="A31" authorId="0" shapeId="0" xr:uid="{00000000-0006-0000-0200-000005000000}">
      <text>
        <r>
          <rPr>
            <sz val="8"/>
            <color indexed="81"/>
            <rFont val="Tahoma"/>
          </rPr>
          <t xml:space="preserve">Fixée à minima à 10 ans 
</t>
        </r>
      </text>
    </comment>
    <comment ref="A33" authorId="0" shapeId="0" xr:uid="{00000000-0006-0000-0200-000006000000}">
      <text>
        <r>
          <rPr>
            <sz val="8"/>
            <color indexed="81"/>
            <rFont val="Tahoma"/>
          </rPr>
          <t>Le coefficient de sécurité est fixé à une valeur de 5.</t>
        </r>
      </text>
    </comment>
    <comment ref="A36" authorId="0" shapeId="0" xr:uid="{00000000-0006-0000-0200-000007000000}">
      <text>
        <r>
          <rPr>
            <sz val="8"/>
            <color indexed="81"/>
            <rFont val="Tahoma"/>
          </rPr>
          <t xml:space="preserve">Pour les ouvrages enterrés sous espace vert on considère que la couverture est imperméable au dessus de 50 cm.
</t>
        </r>
      </text>
    </comment>
    <comment ref="D36" authorId="0" shapeId="0" xr:uid="{00000000-0006-0000-0200-000008000000}">
      <text>
        <r>
          <rPr>
            <sz val="8"/>
            <color indexed="81"/>
            <rFont val="Tahoma"/>
          </rPr>
          <t>Choix dans liste déroulante</t>
        </r>
      </text>
    </comment>
    <comment ref="A38" authorId="0" shapeId="0" xr:uid="{00000000-0006-0000-0200-000009000000}">
      <text>
        <r>
          <rPr>
            <sz val="8"/>
            <color indexed="81"/>
            <rFont val="Tahoma"/>
          </rPr>
          <t xml:space="preserve">Cette valeur représente la limite inférieure de la surface d'infiltration mais peut-être insuffisante pour assurer la vidange totale de l'ouvrage en moins de 24 heures.
</t>
        </r>
      </text>
    </comment>
    <comment ref="A40" authorId="0" shapeId="0" xr:uid="{00000000-0006-0000-0200-00000A000000}">
      <text>
        <r>
          <rPr>
            <sz val="8"/>
            <color indexed="81"/>
            <rFont val="Tahoma"/>
          </rPr>
          <t>Surface calculée selon le type d'ouvrage :
- surface du fond pour les bassins et structures réservoir,
- surface au miroir pour les noues,
- demi surface latérale pour les tranchées et puisards.</t>
        </r>
      </text>
    </comment>
    <comment ref="J40" authorId="0" shapeId="0" xr:uid="{00000000-0006-0000-0200-00000B000000}">
      <text>
        <r>
          <rPr>
            <sz val="8"/>
            <color indexed="81"/>
            <rFont val="Tahoma"/>
          </rPr>
          <t xml:space="preserve">La valeur ne peut être inférieure à la surface minimale. Il est recommandé que la surface d'infiltration permette d'assurer une durée de vidange inférieure à 24 h.
</t>
        </r>
      </text>
    </comment>
    <comment ref="A42" authorId="0" shapeId="0" xr:uid="{00000000-0006-0000-0200-00000C000000}">
      <text>
        <r>
          <rPr>
            <sz val="8"/>
            <color indexed="81"/>
            <rFont val="Tahoma"/>
          </rPr>
          <t xml:space="preserve">Surface active augmentée de la surface d'infiltration pour les ouvrages situés sous une surface perméable ou à ciel ouvert.
</t>
        </r>
      </text>
    </comment>
    <comment ref="A48" authorId="0" shapeId="0" xr:uid="{00000000-0006-0000-0200-00000D000000}">
      <text>
        <r>
          <rPr>
            <sz val="8"/>
            <color indexed="81"/>
            <rFont val="Tahoma"/>
          </rPr>
          <t>Cette valeurcorrespond au volume à stocker pour une pluie d'une heure.
Le volume à réaliser ne peut être inférieur quelle que soit la surface d'infiltration, s</t>
        </r>
        <r>
          <rPr>
            <sz val="8"/>
            <color indexed="57"/>
            <rFont val="Tahoma"/>
            <family val="2"/>
          </rPr>
          <t>oit 28mm pour une pluie 1h décennale</t>
        </r>
      </text>
    </comment>
    <comment ref="D60" authorId="0" shapeId="0" xr:uid="{00000000-0006-0000-0200-00000E000000}">
      <text>
        <r>
          <rPr>
            <sz val="8"/>
            <color indexed="81"/>
            <rFont val="Tahoma"/>
            <family val="2"/>
          </rPr>
          <t>Choix dans liste déroulante</t>
        </r>
        <r>
          <rPr>
            <sz val="8"/>
            <color indexed="81"/>
            <rFont val="Tahoma"/>
          </rPr>
          <t xml:space="preserve">
</t>
        </r>
      </text>
    </comment>
    <comment ref="G60" authorId="0" shapeId="0" xr:uid="{00000000-0006-0000-0200-00000F000000}">
      <text>
        <r>
          <rPr>
            <sz val="8"/>
            <color indexed="81"/>
            <rFont val="Tahoma"/>
          </rPr>
          <t xml:space="preserve">Choix dans liste déroulante
</t>
        </r>
      </text>
    </comment>
    <comment ref="G65" authorId="0" shapeId="0" xr:uid="{00000000-0006-0000-0200-000010000000}">
      <text>
        <r>
          <rPr>
            <sz val="8"/>
            <color indexed="81"/>
            <rFont val="Tahoma"/>
          </rPr>
          <t xml:space="preserve">L' épaisseur varie selon le type d'ouvrage et le revêtement. Elle est au minimum de 30 cm pour un bassin à ciel ouvert et de 15 cm dans les autres cas.
</t>
        </r>
      </text>
    </comment>
  </commentList>
</comments>
</file>

<file path=xl/sharedStrings.xml><?xml version="1.0" encoding="utf-8"?>
<sst xmlns="http://schemas.openxmlformats.org/spreadsheetml/2006/main" count="282" uniqueCount="158">
  <si>
    <t>m²</t>
  </si>
  <si>
    <t>10 ans</t>
  </si>
  <si>
    <t>m/s</t>
  </si>
  <si>
    <t>m³/s</t>
  </si>
  <si>
    <t>m³</t>
  </si>
  <si>
    <t>Volume réel de l'ouvrage</t>
  </si>
  <si>
    <t>Distance au toit
de la nappe</t>
  </si>
  <si>
    <t>m</t>
  </si>
  <si>
    <t>Dimensionnement d'un ouvrage de gestion des eaux pluviales par infiltration</t>
  </si>
  <si>
    <t>Profondeur de la nappe par rapport au sol</t>
  </si>
  <si>
    <t>Coefficient de perméabilité</t>
  </si>
  <si>
    <t>Si &gt; Smini</t>
  </si>
  <si>
    <t>Pétitionnaire</t>
  </si>
  <si>
    <t>CARACTERISTIQUES DU PROJET</t>
  </si>
  <si>
    <t>Smini</t>
  </si>
  <si>
    <t>N° de dossier</t>
  </si>
  <si>
    <t>Date</t>
  </si>
  <si>
    <t>Pn</t>
  </si>
  <si>
    <t>Iv</t>
  </si>
  <si>
    <t>Vu</t>
  </si>
  <si>
    <t>Hs</t>
  </si>
  <si>
    <t>Bilan des surfaces élémentaires</t>
  </si>
  <si>
    <t>Commune</t>
  </si>
  <si>
    <t>Adresse</t>
  </si>
  <si>
    <t>NIVEAU DE PROTECTION</t>
  </si>
  <si>
    <t>Vu / Iv</t>
  </si>
  <si>
    <t>BORDEAUX</t>
  </si>
  <si>
    <t>Surfaces perméables, espaces verts,
surfaces non collectées, …</t>
  </si>
  <si>
    <t>Hauteur de stockage
ou marnage</t>
  </si>
  <si>
    <t>s</t>
  </si>
  <si>
    <t>PRE DIMENSIONNEMENT DE L'OUVRAGE</t>
  </si>
  <si>
    <t>Vmini</t>
  </si>
  <si>
    <t>Surface active</t>
  </si>
  <si>
    <t>Surface élémentaire</t>
  </si>
  <si>
    <t>Coefficient d'apport</t>
  </si>
  <si>
    <t>Hc</t>
  </si>
  <si>
    <t>Implantation</t>
  </si>
  <si>
    <t>Volume nécessaire de stockage</t>
  </si>
  <si>
    <t>Coefficient d'apport
moyen</t>
  </si>
  <si>
    <t>Surface totale de
l'opération</t>
  </si>
  <si>
    <t>Surface active totale</t>
  </si>
  <si>
    <t>Ca = Sa/St</t>
  </si>
  <si>
    <t>Couverture
ou revanche</t>
  </si>
  <si>
    <t>Pn - Hs - Hc</t>
  </si>
  <si>
    <t>Indice de vide</t>
  </si>
  <si>
    <t>Débit d'infiltration</t>
  </si>
  <si>
    <t>PC 33063 12 X1001</t>
  </si>
  <si>
    <t>Direction de l'EAU</t>
  </si>
  <si>
    <t>REFERENCES DU DOSSIER D'AUTORISATION D'OCCUPATION DU SOL</t>
  </si>
  <si>
    <t>Etude
hydrogéologique</t>
  </si>
  <si>
    <r>
      <t>Ca</t>
    </r>
    <r>
      <rPr>
        <b/>
        <vertAlign val="subscript"/>
        <sz val="10"/>
        <rFont val="Trebuchet MS"/>
        <family val="2"/>
      </rPr>
      <t>i</t>
    </r>
  </si>
  <si>
    <r>
      <t>S</t>
    </r>
    <r>
      <rPr>
        <b/>
        <vertAlign val="subscript"/>
        <sz val="10"/>
        <rFont val="Trebuchet MS"/>
        <family val="2"/>
      </rPr>
      <t>i</t>
    </r>
  </si>
  <si>
    <r>
      <t>Sa</t>
    </r>
    <r>
      <rPr>
        <b/>
        <vertAlign val="subscript"/>
        <sz val="10"/>
        <rFont val="Trebuchet MS"/>
        <family val="2"/>
      </rPr>
      <t>i</t>
    </r>
    <r>
      <rPr>
        <b/>
        <sz val="10"/>
        <rFont val="Trebuchet MS"/>
        <family val="2"/>
      </rPr>
      <t xml:space="preserve"> = S</t>
    </r>
    <r>
      <rPr>
        <b/>
        <vertAlign val="subscript"/>
        <sz val="10"/>
        <rFont val="Trebuchet MS"/>
        <family val="2"/>
      </rPr>
      <t>i</t>
    </r>
    <r>
      <rPr>
        <b/>
        <sz val="10"/>
        <rFont val="Trebuchet MS"/>
        <family val="2"/>
      </rPr>
      <t xml:space="preserve"> x Ca</t>
    </r>
    <r>
      <rPr>
        <b/>
        <vertAlign val="subscript"/>
        <sz val="10"/>
        <rFont val="Trebuchet MS"/>
        <family val="2"/>
      </rPr>
      <t>i</t>
    </r>
  </si>
  <si>
    <r>
      <t>St = ∑S</t>
    </r>
    <r>
      <rPr>
        <b/>
        <vertAlign val="subscript"/>
        <sz val="10"/>
        <rFont val="Trebuchet MS"/>
        <family val="2"/>
      </rPr>
      <t>i</t>
    </r>
  </si>
  <si>
    <r>
      <t>Sa = ∑Sa</t>
    </r>
    <r>
      <rPr>
        <b/>
        <vertAlign val="subscript"/>
        <sz val="10"/>
        <rFont val="Trebuchet MS"/>
        <family val="2"/>
      </rPr>
      <t>i</t>
    </r>
  </si>
  <si>
    <r>
      <t>10</t>
    </r>
    <r>
      <rPr>
        <b/>
        <vertAlign val="superscript"/>
        <sz val="10"/>
        <rFont val="Trebuchet MS"/>
        <family val="2"/>
      </rPr>
      <t>-3</t>
    </r>
    <r>
      <rPr>
        <b/>
        <sz val="10"/>
        <rFont val="Trebuchet MS"/>
        <family val="2"/>
      </rPr>
      <t xml:space="preserve"> &gt; K &gt; 3 10</t>
    </r>
    <r>
      <rPr>
        <b/>
        <vertAlign val="superscript"/>
        <sz val="10"/>
        <rFont val="Trebuchet MS"/>
        <family val="2"/>
      </rPr>
      <t>-6</t>
    </r>
  </si>
  <si>
    <t>mm/h</t>
  </si>
  <si>
    <t>P.H.E.</t>
  </si>
  <si>
    <t>code 1</t>
  </si>
  <si>
    <t>code 2</t>
  </si>
  <si>
    <t>code 3</t>
  </si>
  <si>
    <t>code 4</t>
  </si>
  <si>
    <t>code 5</t>
  </si>
  <si>
    <t>Surface d'infiltration minimale théorique</t>
  </si>
  <si>
    <t>seuls les champs de couleur verte sont à renseigner</t>
  </si>
  <si>
    <t>Pluviométrie de référence - période de retour</t>
  </si>
  <si>
    <t>Surface d'infiltration mise en œuvre</t>
  </si>
  <si>
    <t>Terrain aménagé</t>
  </si>
  <si>
    <t>toit de la nappe</t>
  </si>
  <si>
    <t>interface d'infiltration</t>
  </si>
  <si>
    <t>Tour Aquitaine</t>
  </si>
  <si>
    <t>rue Corps franc Pommiès</t>
  </si>
  <si>
    <t>SCI DEAU</t>
  </si>
  <si>
    <t>Fiche 1a</t>
  </si>
  <si>
    <t>Code type
d'ouvrage</t>
  </si>
  <si>
    <t>Nom des séries
du graphique</t>
  </si>
  <si>
    <t>Schémas
ouvrages</t>
  </si>
  <si>
    <t>Schéma sélectionné</t>
  </si>
  <si>
    <t>Type
d'ouvrage</t>
  </si>
  <si>
    <t>CARACTERISTIQUES DU TERRAIN</t>
  </si>
  <si>
    <t>Matériau constitutif
du stockage</t>
  </si>
  <si>
    <t>AMBARES</t>
  </si>
  <si>
    <t>AMBES</t>
  </si>
  <si>
    <t>ARTIGUES</t>
  </si>
  <si>
    <t>BASSENS</t>
  </si>
  <si>
    <t>BEGLES</t>
  </si>
  <si>
    <t>BLANQUEFORT</t>
  </si>
  <si>
    <t>BOULIAC</t>
  </si>
  <si>
    <t>BRUGES</t>
  </si>
  <si>
    <t>CARBON BLANC</t>
  </si>
  <si>
    <t>CENON</t>
  </si>
  <si>
    <t>EYSINES</t>
  </si>
  <si>
    <t>FLOIRAC</t>
  </si>
  <si>
    <t>GRADIGNAN</t>
  </si>
  <si>
    <t>LE BOUSCAT</t>
  </si>
  <si>
    <t>LE HAILLAN</t>
  </si>
  <si>
    <t>LE TAILLAN</t>
  </si>
  <si>
    <t>LORMONT</t>
  </si>
  <si>
    <t>MERIGNAC</t>
  </si>
  <si>
    <t>PAREMPUYRE</t>
  </si>
  <si>
    <t>PESSAC</t>
  </si>
  <si>
    <t>St AUBIN</t>
  </si>
  <si>
    <t>St VINCENT</t>
  </si>
  <si>
    <t>TALENCE</t>
  </si>
  <si>
    <t>VILLENAVE</t>
  </si>
  <si>
    <t>Paramètres et
calculs intermédiaires</t>
  </si>
  <si>
    <t>les valeurs du graphique sont sur une feuille masquée, protégée par le même mot de passe.
Menu &gt; Format &gt; Feuille &gt; Afficher &gt; Données</t>
  </si>
  <si>
    <t>Répartition des surfaces d'apport selon le
revêtement et le
rendement au
ruissellement</t>
  </si>
  <si>
    <t>CONCEPTION DE L'OUVRAGE</t>
  </si>
  <si>
    <t>soit</t>
  </si>
  <si>
    <t>Hauteurs caractéristiques</t>
  </si>
  <si>
    <t>Dimensionnement</t>
  </si>
  <si>
    <t>l/s</t>
  </si>
  <si>
    <t>LIGNE MASQUEE Coefficient de sécurité</t>
  </si>
  <si>
    <t xml:space="preserve">Qi = </t>
  </si>
  <si>
    <t>m3</t>
  </si>
  <si>
    <t>Durée de vidange (doit être inférieure à 24h)</t>
  </si>
  <si>
    <t>Vu / Qi</t>
  </si>
  <si>
    <t>LIGNE MASQUEE Volume infiltré pendant six heures</t>
  </si>
  <si>
    <t xml:space="preserve">Volume mini = Vol de ruissellement  pendant la pluie de 1h -10ans </t>
  </si>
  <si>
    <t>Tranchée drainante</t>
  </si>
  <si>
    <t>diorite 40/70</t>
  </si>
  <si>
    <t>Toitures terrasses (végétalisées ou stockante)</t>
  </si>
  <si>
    <t>A ciel ouvert</t>
  </si>
  <si>
    <t>Toiture non régulée, voirie, stationnement, trottoir, piste cyclable…
Bassin à ciel ouvert, tout revêtement imperméable…</t>
  </si>
  <si>
    <t>Cs</t>
  </si>
  <si>
    <t>St LOUIS</t>
  </si>
  <si>
    <t>St MEDARD</t>
  </si>
  <si>
    <t>Structure réservoir</t>
  </si>
  <si>
    <t>Ambarès-et-Lagrave</t>
  </si>
  <si>
    <t>Ambès</t>
  </si>
  <si>
    <t>Artigues-Près-Bordeaux</t>
  </si>
  <si>
    <t>Bassens</t>
  </si>
  <si>
    <t>Bègles</t>
  </si>
  <si>
    <t>Blanquefort</t>
  </si>
  <si>
    <t>Bordeaux</t>
  </si>
  <si>
    <t>Bouliac</t>
  </si>
  <si>
    <t>Le Bouscat</t>
  </si>
  <si>
    <t>Bruges</t>
  </si>
  <si>
    <t>Carbon-Blanc</t>
  </si>
  <si>
    <t>Cenon</t>
  </si>
  <si>
    <t>Eysines</t>
  </si>
  <si>
    <t>Floirac</t>
  </si>
  <si>
    <t>Gradignan</t>
  </si>
  <si>
    <t>Le Haillan</t>
  </si>
  <si>
    <t>Lormont</t>
  </si>
  <si>
    <t>Martignas-sur-Jalle</t>
  </si>
  <si>
    <t>Mérignac</t>
  </si>
  <si>
    <t>Parempuyre</t>
  </si>
  <si>
    <t>Pessac</t>
  </si>
  <si>
    <t>Saint-Aubin-de-Médoc</t>
  </si>
  <si>
    <t>Saint-Louis-de-Montferrand</t>
  </si>
  <si>
    <t>Saint-Médard-en-Jalles</t>
  </si>
  <si>
    <t>Saint-Vincent-de-Paul</t>
  </si>
  <si>
    <t>Le Taillan-Médoc</t>
  </si>
  <si>
    <t>Talence</t>
  </si>
  <si>
    <t>Villenave-d'Ornon</t>
  </si>
  <si>
    <t>Rue Corps Franc Pommiès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</si>
</sst>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E+00"/>
    <numFmt numFmtId="166" formatCode="#,##0.00000"/>
  </numFmts>
  <fonts count="34">
    <font>
      <sz val="10"/>
      <name val="Arial"/>
    </font>
    <font>
      <sz val="8"/>
      <name val="Arial"/>
    </font>
    <font>
      <b/>
      <sz val="10"/>
      <name val="Arial"/>
      <family val="2"/>
    </font>
    <font>
      <sz val="10"/>
      <name val="Arial"/>
      <family val="2"/>
    </font>
    <font>
      <b/>
      <sz val="10"/>
      <name val="Stylograph"/>
    </font>
    <font>
      <b/>
      <sz val="12"/>
      <name val="Stylograph"/>
    </font>
    <font>
      <sz val="16"/>
      <name val="Trebuchet MS"/>
      <family val="2"/>
    </font>
    <font>
      <sz val="10"/>
      <name val="Trebuchet MS"/>
      <family val="2"/>
    </font>
    <font>
      <b/>
      <sz val="12"/>
      <name val="Trebuchet MS"/>
      <family val="2"/>
    </font>
    <font>
      <b/>
      <sz val="10"/>
      <color indexed="57"/>
      <name val="Trebuchet MS"/>
      <family val="2"/>
    </font>
    <font>
      <b/>
      <sz val="10"/>
      <name val="Trebuchet MS"/>
      <family val="2"/>
    </font>
    <font>
      <sz val="11"/>
      <name val="Trebuchet MS"/>
      <family val="2"/>
    </font>
    <font>
      <b/>
      <vertAlign val="subscript"/>
      <sz val="10"/>
      <name val="Trebuchet MS"/>
      <family val="2"/>
    </font>
    <font>
      <sz val="12"/>
      <name val="Trebuchet MS"/>
      <family val="2"/>
    </font>
    <font>
      <b/>
      <sz val="11"/>
      <name val="Trebuchet MS"/>
      <family val="2"/>
    </font>
    <font>
      <b/>
      <vertAlign val="superscript"/>
      <sz val="10"/>
      <name val="Trebuchet MS"/>
      <family val="2"/>
    </font>
    <font>
      <sz val="8"/>
      <name val="Trebuchet MS"/>
      <family val="2"/>
    </font>
    <font>
      <sz val="18"/>
      <name val="Trebuchet MS"/>
      <family val="2"/>
    </font>
    <font>
      <sz val="8"/>
      <color indexed="81"/>
      <name val="Tahoma"/>
    </font>
    <font>
      <sz val="8"/>
      <color indexed="81"/>
      <name val="Tahoma"/>
      <family val="2"/>
    </font>
    <font>
      <b/>
      <sz val="14"/>
      <name val="Stylograph"/>
    </font>
    <font>
      <b/>
      <sz val="16"/>
      <color indexed="57"/>
      <name val="Trebuchet MS"/>
      <family val="2"/>
    </font>
    <font>
      <b/>
      <sz val="12"/>
      <color indexed="9"/>
      <name val="Trebuchet MS"/>
      <family val="2"/>
    </font>
    <font>
      <b/>
      <sz val="12"/>
      <color indexed="57"/>
      <name val="Trebuchet MS"/>
      <family val="2"/>
    </font>
    <font>
      <b/>
      <sz val="11"/>
      <name val="Stylograph"/>
    </font>
    <font>
      <sz val="10"/>
      <color indexed="10"/>
      <name val="Arial"/>
    </font>
    <font>
      <sz val="10"/>
      <color indexed="9"/>
      <name val="Trebuchet MS"/>
      <family val="2"/>
    </font>
    <font>
      <sz val="8"/>
      <color indexed="57"/>
      <name val="Tahoma"/>
      <family val="2"/>
    </font>
    <font>
      <b/>
      <sz val="11"/>
      <name val="Arial Black"/>
      <family val="2"/>
    </font>
    <font>
      <b/>
      <sz val="16"/>
      <color rgb="FF7BCBFD"/>
      <name val="Trebuchet MS"/>
      <family val="2"/>
    </font>
    <font>
      <b/>
      <sz val="12"/>
      <color rgb="FF7BCBFD"/>
      <name val="Trebuchet MS"/>
      <family val="2"/>
    </font>
    <font>
      <b/>
      <sz val="10"/>
      <color rgb="FF7BCBFD"/>
      <name val="Trebuchet MS"/>
      <family val="2"/>
    </font>
    <font>
      <b/>
      <sz val="11"/>
      <color rgb="FFFFCDE8"/>
      <name val="Trebuchet MS"/>
      <family val="2"/>
    </font>
    <font>
      <sz val="10"/>
      <color rgb="FFFFCDE8"/>
      <name val="Trebuchet MS"/>
      <family val="2"/>
    </font>
  </fonts>
  <fills count="11">
    <fill>
      <patternFill patternType="none"/>
    </fill>
    <fill>
      <patternFill patternType="gray125"/>
    </fill>
    <fill>
      <patternFill patternType="solid">
        <fgColor indexed="52"/>
        <bgColor indexed="64"/>
      </patternFill>
    </fill>
    <fill>
      <patternFill patternType="solid">
        <fgColor indexed="43"/>
        <bgColor indexed="64"/>
      </patternFill>
    </fill>
    <fill>
      <patternFill patternType="solid">
        <fgColor indexed="57"/>
        <bgColor indexed="64"/>
      </patternFill>
    </fill>
    <fill>
      <patternFill patternType="solid">
        <fgColor indexed="47"/>
        <bgColor indexed="64"/>
      </patternFill>
    </fill>
    <fill>
      <patternFill patternType="solid">
        <fgColor indexed="42"/>
        <bgColor indexed="64"/>
      </patternFill>
    </fill>
    <fill>
      <patternFill patternType="solid">
        <fgColor rgb="FF7BCBFD"/>
        <bgColor indexed="64"/>
      </patternFill>
    </fill>
    <fill>
      <patternFill patternType="solid">
        <fgColor rgb="FFD0EDAD"/>
        <bgColor indexed="64"/>
      </patternFill>
    </fill>
    <fill>
      <patternFill patternType="solid">
        <fgColor rgb="FFFFF2A3"/>
        <bgColor indexed="64"/>
      </patternFill>
    </fill>
    <fill>
      <patternFill patternType="solid">
        <fgColor rgb="FFFFCDE8"/>
        <bgColor indexed="64"/>
      </patternFill>
    </fill>
  </fills>
  <borders count="37">
    <border>
      <left/>
      <right/>
      <top/>
      <bottom/>
      <diagonal/>
    </border>
    <border>
      <left style="medium">
        <color indexed="51"/>
      </left>
      <right/>
      <top/>
      <bottom/>
      <diagonal/>
    </border>
    <border>
      <left/>
      <right style="thin">
        <color indexed="51"/>
      </right>
      <top style="medium">
        <color indexed="51"/>
      </top>
      <bottom/>
      <diagonal/>
    </border>
    <border>
      <left/>
      <right/>
      <top style="medium">
        <color indexed="51"/>
      </top>
      <bottom/>
      <diagonal/>
    </border>
    <border>
      <left/>
      <right/>
      <top/>
      <bottom style="medium">
        <color indexed="51"/>
      </bottom>
      <diagonal/>
    </border>
    <border>
      <left/>
      <right style="medium">
        <color indexed="51"/>
      </right>
      <top/>
      <bottom/>
      <diagonal/>
    </border>
    <border>
      <left/>
      <right style="thin">
        <color indexed="51"/>
      </right>
      <top/>
      <bottom style="medium">
        <color indexed="51"/>
      </bottom>
      <diagonal/>
    </border>
    <border>
      <left/>
      <right style="thin">
        <color indexed="51"/>
      </right>
      <top/>
      <bottom style="thin">
        <color indexed="22"/>
      </bottom>
      <diagonal/>
    </border>
    <border>
      <left style="thin">
        <color indexed="51"/>
      </left>
      <right/>
      <top style="medium">
        <color indexed="51"/>
      </top>
      <bottom style="thin">
        <color indexed="51"/>
      </bottom>
      <diagonal/>
    </border>
    <border>
      <left style="thin">
        <color indexed="51"/>
      </left>
      <right/>
      <top style="thin">
        <color indexed="51"/>
      </top>
      <bottom style="thin">
        <color indexed="51"/>
      </bottom>
      <diagonal/>
    </border>
    <border>
      <left/>
      <right style="thin">
        <color indexed="51"/>
      </right>
      <top style="medium">
        <color indexed="51"/>
      </top>
      <bottom style="thin">
        <color indexed="51"/>
      </bottom>
      <diagonal/>
    </border>
    <border>
      <left/>
      <right/>
      <top style="thin">
        <color indexed="22"/>
      </top>
      <bottom/>
      <diagonal/>
    </border>
    <border>
      <left/>
      <right style="medium">
        <color indexed="51"/>
      </right>
      <top style="thin">
        <color indexed="22"/>
      </top>
      <bottom/>
      <diagonal/>
    </border>
    <border>
      <left/>
      <right style="medium">
        <color indexed="51"/>
      </right>
      <top/>
      <bottom style="medium">
        <color indexed="51"/>
      </bottom>
      <diagonal/>
    </border>
    <border>
      <left/>
      <right/>
      <top/>
      <bottom style="thin">
        <color indexed="22"/>
      </bottom>
      <diagonal/>
    </border>
    <border>
      <left style="medium">
        <color indexed="51"/>
      </left>
      <right/>
      <top style="medium">
        <color indexed="51"/>
      </top>
      <bottom/>
      <diagonal/>
    </border>
    <border>
      <left style="medium">
        <color indexed="51"/>
      </left>
      <right/>
      <top/>
      <bottom style="medium">
        <color indexed="51"/>
      </bottom>
      <diagonal/>
    </border>
    <border>
      <left/>
      <right style="medium">
        <color indexed="51"/>
      </right>
      <top style="medium">
        <color indexed="51"/>
      </top>
      <bottom style="medium">
        <color indexed="51"/>
      </bottom>
      <diagonal/>
    </border>
    <border>
      <left/>
      <right style="medium">
        <color indexed="51"/>
      </right>
      <top style="medium">
        <color indexed="51"/>
      </top>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style="thin">
        <color indexed="51"/>
      </left>
      <right/>
      <top style="medium">
        <color indexed="51"/>
      </top>
      <bottom style="medium">
        <color indexed="51"/>
      </bottom>
      <diagonal/>
    </border>
    <border>
      <left style="thin">
        <color indexed="51"/>
      </left>
      <right/>
      <top style="medium">
        <color indexed="51"/>
      </top>
      <bottom/>
      <diagonal/>
    </border>
    <border>
      <left/>
      <right style="medium">
        <color indexed="51"/>
      </right>
      <top/>
      <bottom style="thin">
        <color indexed="22"/>
      </bottom>
      <diagonal/>
    </border>
    <border>
      <left/>
      <right style="thin">
        <color indexed="51"/>
      </right>
      <top style="medium">
        <color indexed="51"/>
      </top>
      <bottom style="medium">
        <color indexed="51"/>
      </bottom>
      <diagonal/>
    </border>
    <border>
      <left style="thin">
        <color indexed="51"/>
      </left>
      <right/>
      <top/>
      <bottom/>
      <diagonal/>
    </border>
    <border>
      <left style="thin">
        <color indexed="51"/>
      </left>
      <right/>
      <top/>
      <bottom style="medium">
        <color indexed="51"/>
      </bottom>
      <diagonal/>
    </border>
    <border>
      <left/>
      <right style="thin">
        <color indexed="51"/>
      </right>
      <top style="thin">
        <color indexed="22"/>
      </top>
      <bottom/>
      <diagonal/>
    </border>
    <border>
      <left style="medium">
        <color indexed="51"/>
      </left>
      <right/>
      <top/>
      <bottom style="thin">
        <color indexed="22"/>
      </bottom>
      <diagonal/>
    </border>
    <border>
      <left style="medium">
        <color indexed="51"/>
      </left>
      <right/>
      <top style="thin">
        <color indexed="22"/>
      </top>
      <bottom/>
      <diagonal/>
    </border>
    <border>
      <left style="thin">
        <color indexed="51"/>
      </left>
      <right style="thin">
        <color indexed="51"/>
      </right>
      <top style="medium">
        <color indexed="51"/>
      </top>
      <bottom/>
      <diagonal/>
    </border>
    <border>
      <left style="thin">
        <color indexed="51"/>
      </left>
      <right style="thin">
        <color indexed="51"/>
      </right>
      <top/>
      <bottom style="medium">
        <color indexed="51"/>
      </bottom>
      <diagonal/>
    </border>
    <border>
      <left style="medium">
        <color indexed="51"/>
      </left>
      <right style="thin">
        <color indexed="51"/>
      </right>
      <top style="medium">
        <color indexed="51"/>
      </top>
      <bottom/>
      <diagonal/>
    </border>
    <border>
      <left style="medium">
        <color indexed="51"/>
      </left>
      <right style="thin">
        <color indexed="51"/>
      </right>
      <top/>
      <bottom style="medium">
        <color indexed="51"/>
      </bottom>
      <diagonal/>
    </border>
    <border>
      <left style="medium">
        <color indexed="51"/>
      </left>
      <right/>
      <top style="thin">
        <color indexed="22"/>
      </top>
      <bottom style="thin">
        <color indexed="22"/>
      </bottom>
      <diagonal/>
    </border>
    <border>
      <left/>
      <right/>
      <top style="thin">
        <color indexed="22"/>
      </top>
      <bottom style="thin">
        <color indexed="22"/>
      </bottom>
      <diagonal/>
    </border>
    <border>
      <left/>
      <right style="thin">
        <color indexed="51"/>
      </right>
      <top/>
      <bottom/>
      <diagonal/>
    </border>
  </borders>
  <cellStyleXfs count="1">
    <xf numFmtId="0" fontId="0" fillId="0" borderId="0"/>
  </cellStyleXfs>
  <cellXfs count="481">
    <xf numFmtId="0" fontId="0" fillId="0" borderId="0" xfId="0"/>
    <xf numFmtId="0" fontId="0" fillId="0" borderId="0" xfId="0" applyAlignment="1">
      <alignment vertical="center"/>
    </xf>
    <xf numFmtId="0" fontId="2" fillId="0" borderId="0" xfId="0" applyFont="1" applyAlignment="1">
      <alignment vertical="center"/>
    </xf>
    <xf numFmtId="2" fontId="0" fillId="0" borderId="0" xfId="0" applyNumberFormat="1" applyAlignment="1">
      <alignment vertical="center"/>
    </xf>
    <xf numFmtId="0" fontId="3" fillId="0" borderId="0" xfId="0" applyFont="1" applyFill="1" applyAlignment="1">
      <alignment vertical="center"/>
    </xf>
    <xf numFmtId="0" fontId="0" fillId="0" borderId="0" xfId="0" applyAlignment="1">
      <alignment vertical="center" wrapText="1"/>
    </xf>
    <xf numFmtId="165" fontId="10" fillId="0" borderId="9" xfId="0" applyNumberFormat="1" applyFont="1" applyFill="1" applyBorder="1" applyAlignment="1" applyProtection="1">
      <alignment horizontal="center" vertical="center"/>
    </xf>
    <xf numFmtId="0" fontId="6" fillId="0" borderId="0" xfId="0" applyFont="1" applyAlignment="1" applyProtection="1">
      <alignment vertical="center"/>
    </xf>
    <xf numFmtId="0" fontId="7" fillId="5" borderId="0" xfId="0" applyFont="1" applyFill="1" applyAlignment="1" applyProtection="1">
      <alignment vertical="center"/>
    </xf>
    <xf numFmtId="0" fontId="7" fillId="0" borderId="0" xfId="0" applyFont="1" applyAlignment="1" applyProtection="1">
      <alignment vertical="center"/>
    </xf>
    <xf numFmtId="0" fontId="0" fillId="0" borderId="0" xfId="0" applyProtection="1"/>
    <xf numFmtId="0" fontId="22" fillId="4" borderId="1" xfId="0" applyFont="1" applyFill="1" applyBorder="1" applyAlignment="1" applyProtection="1">
      <alignment vertical="center"/>
    </xf>
    <xf numFmtId="0" fontId="22" fillId="4" borderId="0" xfId="0" applyFont="1" applyFill="1" applyBorder="1" applyAlignment="1" applyProtection="1">
      <alignment vertical="center"/>
    </xf>
    <xf numFmtId="0" fontId="22" fillId="4" borderId="5" xfId="0" applyFont="1" applyFill="1" applyBorder="1" applyAlignment="1" applyProtection="1">
      <alignment vertical="center"/>
    </xf>
    <xf numFmtId="0" fontId="13" fillId="0" borderId="0" xfId="0" applyFont="1" applyAlignment="1" applyProtection="1">
      <alignment vertical="center"/>
    </xf>
    <xf numFmtId="0" fontId="9" fillId="0" borderId="1" xfId="0" applyFont="1" applyBorder="1" applyAlignment="1" applyProtection="1"/>
    <xf numFmtId="0" fontId="9" fillId="0" borderId="0" xfId="0" applyFont="1" applyBorder="1" applyAlignment="1" applyProtection="1"/>
    <xf numFmtId="0" fontId="9" fillId="0" borderId="5" xfId="0" applyFont="1" applyBorder="1" applyAlignment="1" applyProtection="1"/>
    <xf numFmtId="0" fontId="10" fillId="2" borderId="1"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xf>
    <xf numFmtId="0" fontId="10" fillId="0" borderId="0" xfId="0" applyFont="1" applyFill="1" applyAlignment="1" applyProtection="1">
      <alignment vertical="center"/>
    </xf>
    <xf numFmtId="0" fontId="10" fillId="5" borderId="0" xfId="0" applyFont="1" applyFill="1" applyAlignment="1" applyProtection="1">
      <alignment vertical="center"/>
    </xf>
    <xf numFmtId="0" fontId="11" fillId="0" borderId="0" xfId="0" applyFont="1" applyFill="1" applyAlignment="1" applyProtection="1">
      <alignment vertical="center"/>
    </xf>
    <xf numFmtId="0" fontId="7" fillId="0" borderId="0" xfId="0" applyFont="1" applyFill="1" applyAlignment="1" applyProtection="1">
      <alignment vertical="center"/>
    </xf>
    <xf numFmtId="0" fontId="0" fillId="5" borderId="0" xfId="0" applyFill="1" applyProtection="1"/>
    <xf numFmtId="9" fontId="14" fillId="3" borderId="2" xfId="0" applyNumberFormat="1" applyFont="1" applyFill="1" applyBorder="1" applyAlignment="1" applyProtection="1">
      <alignment vertical="center"/>
    </xf>
    <xf numFmtId="9" fontId="14" fillId="3" borderId="6" xfId="0" applyNumberFormat="1" applyFont="1" applyFill="1" applyBorder="1" applyAlignment="1" applyProtection="1">
      <alignment vertical="center"/>
    </xf>
    <xf numFmtId="1" fontId="4" fillId="0" borderId="8" xfId="0" applyNumberFormat="1" applyFont="1" applyFill="1" applyBorder="1" applyAlignment="1" applyProtection="1">
      <alignment horizontal="center" vertical="center"/>
    </xf>
    <xf numFmtId="0" fontId="10" fillId="0" borderId="10" xfId="0" applyFont="1" applyFill="1" applyBorder="1" applyAlignment="1" applyProtection="1">
      <alignment horizontal="left" vertical="center"/>
    </xf>
    <xf numFmtId="0" fontId="10" fillId="3" borderId="2" xfId="0" applyFont="1" applyFill="1" applyBorder="1" applyAlignment="1" applyProtection="1">
      <alignment horizontal="center" vertical="center"/>
    </xf>
    <xf numFmtId="0" fontId="10" fillId="0" borderId="7" xfId="0" applyFont="1" applyFill="1" applyBorder="1" applyAlignment="1" applyProtection="1">
      <alignment horizontal="left" vertical="center"/>
    </xf>
    <xf numFmtId="11" fontId="10" fillId="3" borderId="7" xfId="0" applyNumberFormat="1" applyFont="1" applyFill="1" applyBorder="1" applyAlignment="1" applyProtection="1">
      <alignment vertical="center"/>
    </xf>
    <xf numFmtId="0" fontId="16" fillId="0" borderId="0" xfId="0" applyFont="1" applyFill="1" applyAlignment="1" applyProtection="1">
      <alignment vertical="center"/>
    </xf>
    <xf numFmtId="0" fontId="1" fillId="4" borderId="0" xfId="0" applyFont="1" applyFill="1" applyProtection="1"/>
    <xf numFmtId="0" fontId="7" fillId="4" borderId="0" xfId="0" applyFont="1" applyFill="1" applyAlignment="1" applyProtection="1">
      <alignment vertical="center"/>
    </xf>
    <xf numFmtId="0" fontId="0" fillId="4" borderId="0" xfId="0" applyFill="1" applyProtection="1"/>
    <xf numFmtId="0" fontId="25" fillId="4" borderId="0" xfId="0" applyFont="1" applyFill="1" applyProtection="1"/>
    <xf numFmtId="0" fontId="10" fillId="4" borderId="1"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166" fontId="14" fillId="4" borderId="0" xfId="0" applyNumberFormat="1" applyFont="1" applyFill="1" applyBorder="1" applyAlignment="1" applyProtection="1">
      <alignment horizontal="center" vertical="center"/>
    </xf>
    <xf numFmtId="0" fontId="14" fillId="4" borderId="0" xfId="0" applyFont="1" applyFill="1" applyBorder="1" applyAlignment="1" applyProtection="1">
      <alignment horizontal="left" vertical="center"/>
    </xf>
    <xf numFmtId="0" fontId="13" fillId="0" borderId="0" xfId="0" applyFont="1" applyFill="1" applyAlignment="1" applyProtection="1">
      <alignment vertical="center"/>
    </xf>
    <xf numFmtId="0" fontId="10" fillId="0" borderId="0" xfId="0" applyFont="1" applyAlignment="1" applyProtection="1">
      <alignment vertical="center"/>
    </xf>
    <xf numFmtId="0" fontId="17" fillId="0" borderId="0" xfId="0" applyFont="1" applyFill="1" applyBorder="1" applyAlignment="1" applyProtection="1">
      <alignment vertical="center"/>
    </xf>
    <xf numFmtId="0" fontId="7" fillId="5" borderId="0" xfId="0" applyFont="1" applyFill="1" applyBorder="1" applyAlignment="1" applyProtection="1">
      <alignment vertical="center"/>
    </xf>
    <xf numFmtId="0" fontId="10" fillId="0" borderId="3" xfId="0" applyFont="1" applyFill="1" applyBorder="1" applyAlignment="1" applyProtection="1">
      <alignment horizontal="left" vertical="top" wrapText="1"/>
    </xf>
    <xf numFmtId="0" fontId="10" fillId="0" borderId="3" xfId="0" applyFont="1" applyFill="1" applyBorder="1" applyAlignment="1" applyProtection="1">
      <alignment horizontal="left" vertical="center"/>
    </xf>
    <xf numFmtId="2" fontId="5" fillId="0" borderId="3" xfId="0" applyNumberFormat="1" applyFont="1" applyFill="1" applyBorder="1" applyAlignment="1" applyProtection="1">
      <alignment horizontal="center" vertical="center"/>
    </xf>
    <xf numFmtId="0" fontId="14" fillId="0" borderId="3" xfId="0" applyFont="1" applyFill="1" applyBorder="1" applyAlignment="1" applyProtection="1">
      <alignment horizontal="left" vertical="center"/>
    </xf>
    <xf numFmtId="2" fontId="14" fillId="0" borderId="3"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center"/>
    </xf>
    <xf numFmtId="2" fontId="5"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2" fontId="14"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Alignment="1" applyProtection="1">
      <alignment horizontal="left" vertical="center"/>
    </xf>
    <xf numFmtId="0" fontId="14" fillId="0" borderId="0" xfId="0" applyFont="1" applyFill="1" applyAlignment="1" applyProtection="1">
      <alignment horizontal="left" vertical="center"/>
    </xf>
    <xf numFmtId="1" fontId="7" fillId="5" borderId="0" xfId="0" applyNumberFormat="1" applyFont="1" applyFill="1" applyBorder="1" applyAlignment="1" applyProtection="1">
      <alignment vertical="center"/>
    </xf>
    <xf numFmtId="1" fontId="14" fillId="5" borderId="0" xfId="0" applyNumberFormat="1" applyFont="1" applyFill="1" applyBorder="1" applyAlignment="1" applyProtection="1">
      <alignment vertical="center"/>
    </xf>
    <xf numFmtId="164" fontId="4" fillId="8" borderId="8" xfId="0" applyNumberFormat="1" applyFont="1" applyFill="1" applyBorder="1" applyAlignment="1" applyProtection="1">
      <alignment horizontal="center" vertical="center"/>
      <protection locked="0"/>
    </xf>
    <xf numFmtId="0" fontId="22" fillId="7" borderId="1" xfId="0" applyFont="1" applyFill="1" applyBorder="1" applyAlignment="1" applyProtection="1">
      <alignment vertical="center"/>
    </xf>
    <xf numFmtId="0" fontId="22" fillId="7" borderId="0" xfId="0" applyFont="1" applyFill="1" applyBorder="1" applyAlignment="1" applyProtection="1">
      <alignment vertical="center"/>
    </xf>
    <xf numFmtId="0" fontId="22" fillId="7" borderId="5" xfId="0" applyFont="1" applyFill="1" applyBorder="1" applyAlignment="1" applyProtection="1">
      <alignment vertical="center"/>
    </xf>
    <xf numFmtId="0" fontId="10" fillId="9" borderId="1" xfId="0" applyFont="1" applyFill="1" applyBorder="1" applyAlignment="1" applyProtection="1">
      <alignment horizontal="center" vertical="center" wrapText="1"/>
    </xf>
    <xf numFmtId="0" fontId="10" fillId="9" borderId="4" xfId="0" applyFont="1" applyFill="1" applyBorder="1" applyAlignment="1" applyProtection="1">
      <alignment horizontal="center" vertical="center"/>
    </xf>
    <xf numFmtId="9" fontId="14" fillId="10" borderId="2" xfId="0" applyNumberFormat="1" applyFont="1" applyFill="1" applyBorder="1" applyAlignment="1" applyProtection="1">
      <alignment vertical="center"/>
    </xf>
    <xf numFmtId="9" fontId="14" fillId="10" borderId="6" xfId="0" applyNumberFormat="1" applyFont="1" applyFill="1" applyBorder="1" applyAlignment="1" applyProtection="1">
      <alignment vertical="center"/>
    </xf>
    <xf numFmtId="0" fontId="10" fillId="8" borderId="10" xfId="0" applyFont="1" applyFill="1" applyBorder="1" applyAlignment="1" applyProtection="1">
      <alignment horizontal="left" vertical="center"/>
    </xf>
    <xf numFmtId="0" fontId="10" fillId="10" borderId="2" xfId="0" applyFont="1" applyFill="1" applyBorder="1" applyAlignment="1" applyProtection="1">
      <alignment horizontal="center" vertical="center"/>
    </xf>
    <xf numFmtId="11" fontId="10" fillId="10" borderId="7" xfId="0" applyNumberFormat="1" applyFont="1" applyFill="1" applyBorder="1" applyAlignment="1" applyProtection="1">
      <alignment vertical="center"/>
    </xf>
    <xf numFmtId="0" fontId="10" fillId="10" borderId="0" xfId="0" applyFont="1" applyFill="1" applyBorder="1" applyAlignment="1" applyProtection="1">
      <alignment horizontal="left" vertical="center"/>
    </xf>
    <xf numFmtId="166" fontId="14" fillId="10" borderId="0" xfId="0" applyNumberFormat="1" applyFont="1" applyFill="1" applyBorder="1" applyAlignment="1" applyProtection="1">
      <alignment horizontal="center" vertical="center"/>
    </xf>
    <xf numFmtId="0" fontId="14" fillId="10" borderId="0" xfId="0" applyFont="1" applyFill="1" applyBorder="1" applyAlignment="1" applyProtection="1">
      <alignment horizontal="left" vertical="center"/>
    </xf>
    <xf numFmtId="0" fontId="0" fillId="0" borderId="0" xfId="0" applyAlignment="1">
      <alignment horizontal="left" vertical="center" wrapText="1"/>
    </xf>
    <xf numFmtId="0" fontId="0" fillId="0" borderId="0" xfId="0" applyAlignment="1">
      <alignment horizontal="left"/>
    </xf>
    <xf numFmtId="0" fontId="10" fillId="5" borderId="0" xfId="0" applyFont="1" applyFill="1" applyAlignment="1" applyProtection="1">
      <alignment horizontal="center" vertical="center" wrapText="1"/>
    </xf>
    <xf numFmtId="0" fontId="10" fillId="5" borderId="0" xfId="0" applyFont="1" applyFill="1" applyAlignment="1" applyProtection="1">
      <alignment horizontal="center" vertical="center"/>
    </xf>
    <xf numFmtId="0" fontId="7" fillId="5" borderId="0" xfId="0" applyFont="1" applyFill="1" applyAlignment="1" applyProtection="1">
      <alignment horizontal="left" vertical="center" wrapText="1"/>
    </xf>
    <xf numFmtId="0" fontId="7" fillId="5" borderId="0" xfId="0" applyFont="1" applyFill="1" applyAlignment="1" applyProtection="1">
      <alignment horizontal="left" vertical="center"/>
    </xf>
    <xf numFmtId="0" fontId="10" fillId="3" borderId="11" xfId="0" applyFont="1" applyFill="1" applyBorder="1" applyAlignment="1" applyProtection="1">
      <alignment horizontal="left" vertical="center"/>
    </xf>
    <xf numFmtId="0" fontId="10" fillId="3" borderId="4" xfId="0" applyFont="1" applyFill="1" applyBorder="1" applyAlignment="1" applyProtection="1">
      <alignment horizontal="left" vertical="center"/>
    </xf>
    <xf numFmtId="3" fontId="14" fillId="4" borderId="11" xfId="0" applyNumberFormat="1" applyFont="1" applyFill="1" applyBorder="1" applyAlignment="1" applyProtection="1">
      <alignment horizontal="center" vertical="center"/>
    </xf>
    <xf numFmtId="3" fontId="14" fillId="4" borderId="4" xfId="0" applyNumberFormat="1"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4"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14" fillId="3" borderId="11" xfId="0" applyNumberFormat="1" applyFont="1" applyFill="1" applyBorder="1" applyAlignment="1" applyProtection="1">
      <alignment horizontal="center" vertical="center"/>
    </xf>
    <xf numFmtId="0" fontId="14" fillId="3" borderId="12" xfId="0" applyNumberFormat="1" applyFont="1" applyFill="1" applyBorder="1" applyAlignment="1" applyProtection="1">
      <alignment horizontal="center" vertical="center"/>
    </xf>
    <xf numFmtId="0" fontId="14" fillId="3" borderId="4" xfId="0" applyNumberFormat="1" applyFont="1" applyFill="1" applyBorder="1" applyAlignment="1" applyProtection="1">
      <alignment horizontal="center" vertical="center"/>
    </xf>
    <xf numFmtId="0" fontId="14" fillId="3" borderId="13" xfId="0" applyNumberFormat="1" applyFont="1" applyFill="1" applyBorder="1" applyAlignment="1" applyProtection="1">
      <alignment horizontal="center" vertical="center"/>
    </xf>
    <xf numFmtId="0" fontId="10" fillId="3" borderId="14" xfId="0" applyFont="1" applyFill="1" applyBorder="1" applyAlignment="1" applyProtection="1">
      <alignment horizontal="left" vertical="center"/>
    </xf>
    <xf numFmtId="164" fontId="10" fillId="3" borderId="3" xfId="0" applyNumberFormat="1" applyFont="1" applyFill="1" applyBorder="1" applyAlignment="1" applyProtection="1">
      <alignment horizontal="center" vertical="center"/>
    </xf>
    <xf numFmtId="164" fontId="10" fillId="3" borderId="14" xfId="0" applyNumberFormat="1" applyFont="1" applyFill="1" applyBorder="1" applyAlignment="1" applyProtection="1">
      <alignment horizontal="center" vertical="center"/>
    </xf>
    <xf numFmtId="164" fontId="10" fillId="3" borderId="2" xfId="0" applyNumberFormat="1" applyFont="1" applyFill="1" applyBorder="1" applyAlignment="1" applyProtection="1">
      <alignment horizontal="center" vertical="center"/>
    </xf>
    <xf numFmtId="164" fontId="10" fillId="3" borderId="7" xfId="0" applyNumberFormat="1" applyFont="1" applyFill="1" applyBorder="1" applyAlignment="1" applyProtection="1">
      <alignment horizontal="center" vertical="center"/>
    </xf>
    <xf numFmtId="0" fontId="10" fillId="2" borderId="1"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10" fillId="3" borderId="11" xfId="0" applyFont="1" applyFill="1" applyBorder="1" applyAlignment="1" applyProtection="1">
      <alignment horizontal="left" vertical="center" wrapText="1"/>
    </xf>
    <xf numFmtId="0" fontId="10" fillId="3" borderId="14" xfId="0" applyFont="1" applyFill="1" applyBorder="1" applyAlignment="1" applyProtection="1">
      <alignment horizontal="left" vertical="center" wrapText="1"/>
    </xf>
    <xf numFmtId="164" fontId="10" fillId="3" borderId="27" xfId="0" applyNumberFormat="1" applyFont="1" applyFill="1" applyBorder="1" applyAlignment="1" applyProtection="1">
      <alignment horizontal="center" vertical="center"/>
    </xf>
    <xf numFmtId="164" fontId="10" fillId="3" borderId="6" xfId="0" applyNumberFormat="1" applyFont="1" applyFill="1" applyBorder="1" applyAlignment="1" applyProtection="1">
      <alignment horizontal="center" vertical="center"/>
    </xf>
    <xf numFmtId="0" fontId="10" fillId="0" borderId="15"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10" fillId="0" borderId="29"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29"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28" xfId="0" applyFont="1" applyBorder="1" applyAlignment="1" applyProtection="1">
      <alignment horizontal="left" vertical="center"/>
    </xf>
    <xf numFmtId="0" fontId="10" fillId="0" borderId="14" xfId="0" applyFont="1" applyBorder="1" applyAlignment="1" applyProtection="1">
      <alignment horizontal="left" vertical="center"/>
    </xf>
    <xf numFmtId="0" fontId="10" fillId="3" borderId="0" xfId="0" applyFont="1" applyFill="1" applyBorder="1" applyAlignment="1" applyProtection="1">
      <alignment horizontal="left" vertical="center" wrapText="1"/>
    </xf>
    <xf numFmtId="0" fontId="10" fillId="0" borderId="29" xfId="0" applyFont="1" applyFill="1" applyBorder="1" applyAlignment="1" applyProtection="1">
      <alignment horizontal="left" vertical="center" wrapText="1"/>
    </xf>
    <xf numFmtId="0" fontId="10" fillId="0" borderId="11" xfId="0" applyFont="1" applyFill="1" applyBorder="1" applyAlignment="1" applyProtection="1">
      <alignment horizontal="left" vertical="center" wrapText="1"/>
    </xf>
    <xf numFmtId="166" fontId="14" fillId="4" borderId="11" xfId="0" applyNumberFormat="1" applyFont="1" applyFill="1" applyBorder="1" applyAlignment="1" applyProtection="1">
      <alignment horizontal="center" vertical="center"/>
    </xf>
    <xf numFmtId="166" fontId="14" fillId="4" borderId="14" xfId="0" applyNumberFormat="1" applyFont="1" applyFill="1" applyBorder="1" applyAlignment="1" applyProtection="1">
      <alignment horizontal="center" vertical="center"/>
    </xf>
    <xf numFmtId="0" fontId="14" fillId="4" borderId="11" xfId="0" applyFont="1" applyFill="1" applyBorder="1" applyAlignment="1" applyProtection="1">
      <alignment horizontal="left" vertical="center"/>
    </xf>
    <xf numFmtId="0" fontId="14" fillId="4" borderId="14" xfId="0" applyFont="1" applyFill="1" applyBorder="1" applyAlignment="1" applyProtection="1">
      <alignment horizontal="left" vertical="center"/>
    </xf>
    <xf numFmtId="0" fontId="7" fillId="0" borderId="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14" fillId="3" borderId="18" xfId="0" applyFont="1" applyFill="1" applyBorder="1" applyAlignment="1" applyProtection="1">
      <alignment horizontal="left" vertical="center"/>
    </xf>
    <xf numFmtId="0" fontId="14" fillId="3" borderId="23" xfId="0" applyFont="1" applyFill="1" applyBorder="1" applyAlignment="1" applyProtection="1">
      <alignment horizontal="left" vertical="center"/>
    </xf>
    <xf numFmtId="3" fontId="5" fillId="6" borderId="21" xfId="0" applyNumberFormat="1" applyFont="1" applyFill="1" applyBorder="1" applyAlignment="1" applyProtection="1">
      <alignment horizontal="center" vertical="center"/>
    </xf>
    <xf numFmtId="3" fontId="5" fillId="6" borderId="20" xfId="0" applyNumberFormat="1" applyFont="1" applyFill="1" applyBorder="1" applyAlignment="1" applyProtection="1">
      <alignment horizontal="center" vertical="center"/>
    </xf>
    <xf numFmtId="0" fontId="14" fillId="6" borderId="24" xfId="0" applyFont="1" applyFill="1" applyBorder="1" applyAlignment="1" applyProtection="1">
      <alignment horizontal="left" vertical="center"/>
    </xf>
    <xf numFmtId="3" fontId="14" fillId="3" borderId="3" xfId="0" applyNumberFormat="1" applyFont="1" applyFill="1" applyBorder="1" applyAlignment="1" applyProtection="1">
      <alignment horizontal="center" vertical="center"/>
    </xf>
    <xf numFmtId="3" fontId="14" fillId="3" borderId="14" xfId="0" applyNumberFormat="1" applyFont="1" applyFill="1" applyBorder="1" applyAlignment="1" applyProtection="1">
      <alignment horizontal="center" vertical="center"/>
    </xf>
    <xf numFmtId="3" fontId="14" fillId="3" borderId="25" xfId="0" applyNumberFormat="1" applyFont="1" applyFill="1" applyBorder="1" applyAlignment="1" applyProtection="1">
      <alignment horizontal="center" vertical="center"/>
    </xf>
    <xf numFmtId="3" fontId="14" fillId="3" borderId="0" xfId="0" applyNumberFormat="1" applyFont="1" applyFill="1" applyBorder="1" applyAlignment="1" applyProtection="1">
      <alignment horizontal="center" vertical="center"/>
    </xf>
    <xf numFmtId="3" fontId="14" fillId="3" borderId="26" xfId="0" applyNumberFormat="1" applyFont="1" applyFill="1" applyBorder="1" applyAlignment="1" applyProtection="1">
      <alignment horizontal="center" vertical="center"/>
    </xf>
    <xf numFmtId="3" fontId="14" fillId="3" borderId="4" xfId="0" applyNumberFormat="1" applyFont="1" applyFill="1" applyBorder="1" applyAlignment="1" applyProtection="1">
      <alignment horizontal="center" vertical="center"/>
    </xf>
    <xf numFmtId="0" fontId="10" fillId="2" borderId="4"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4" fillId="3" borderId="12" xfId="0" applyFont="1" applyFill="1" applyBorder="1" applyAlignment="1" applyProtection="1">
      <alignment horizontal="left" vertical="center"/>
    </xf>
    <xf numFmtId="0" fontId="14" fillId="3" borderId="13" xfId="0" applyFont="1" applyFill="1" applyBorder="1" applyAlignment="1" applyProtection="1">
      <alignment horizontal="left" vertical="center"/>
    </xf>
    <xf numFmtId="3" fontId="14" fillId="3" borderId="11" xfId="0" applyNumberFormat="1" applyFont="1" applyFill="1" applyBorder="1" applyAlignment="1" applyProtection="1">
      <alignment horizontal="center" vertical="center"/>
    </xf>
    <xf numFmtId="164" fontId="10" fillId="3" borderId="11" xfId="0" applyNumberFormat="1" applyFont="1" applyFill="1" applyBorder="1" applyAlignment="1" applyProtection="1">
      <alignment horizontal="center" vertical="center"/>
    </xf>
    <xf numFmtId="164" fontId="10" fillId="3" borderId="4" xfId="0" applyNumberFormat="1" applyFont="1" applyFill="1" applyBorder="1" applyAlignment="1" applyProtection="1">
      <alignment horizontal="center" vertical="center"/>
    </xf>
    <xf numFmtId="0" fontId="21" fillId="0" borderId="15"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18" xfId="0" applyFont="1" applyBorder="1" applyAlignment="1" applyProtection="1">
      <alignment horizontal="left" vertical="center"/>
    </xf>
    <xf numFmtId="0" fontId="21" fillId="0" borderId="1"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5" xfId="0" applyFont="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10" fillId="2" borderId="4" xfId="0" applyFont="1" applyFill="1" applyBorder="1" applyAlignment="1" applyProtection="1">
      <alignment horizontal="center" vertical="center"/>
    </xf>
    <xf numFmtId="0" fontId="24" fillId="6" borderId="22"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0" fontId="24" fillId="6" borderId="26" xfId="0" applyFont="1" applyFill="1" applyBorder="1" applyAlignment="1" applyProtection="1">
      <alignment horizontal="center" vertical="center"/>
    </xf>
    <xf numFmtId="0" fontId="24" fillId="6" borderId="4" xfId="0" applyFont="1" applyFill="1" applyBorder="1" applyAlignment="1" applyProtection="1">
      <alignment horizontal="center" vertical="center"/>
    </xf>
    <xf numFmtId="0" fontId="24" fillId="6" borderId="13"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5" fillId="6" borderId="22" xfId="0" applyFont="1" applyFill="1" applyBorder="1" applyAlignment="1" applyProtection="1">
      <alignment horizontal="left" vertical="center"/>
    </xf>
    <xf numFmtId="0" fontId="5" fillId="6" borderId="3" xfId="0" applyFont="1" applyFill="1" applyBorder="1" applyAlignment="1" applyProtection="1">
      <alignment horizontal="left" vertical="center"/>
    </xf>
    <xf numFmtId="0" fontId="5" fillId="6" borderId="2" xfId="0" applyFont="1" applyFill="1" applyBorder="1" applyAlignment="1" applyProtection="1">
      <alignment horizontal="left" vertical="center"/>
    </xf>
    <xf numFmtId="0" fontId="5" fillId="6" borderId="30" xfId="0" applyFont="1" applyFill="1" applyBorder="1" applyAlignment="1" applyProtection="1">
      <alignment horizontal="center" vertical="center"/>
    </xf>
    <xf numFmtId="0" fontId="5" fillId="6" borderId="31" xfId="0" applyFont="1" applyFill="1" applyBorder="1" applyAlignment="1" applyProtection="1">
      <alignment horizontal="center" vertical="center"/>
    </xf>
    <xf numFmtId="0" fontId="7" fillId="0" borderId="11" xfId="0" applyFont="1" applyBorder="1" applyAlignment="1" applyProtection="1">
      <alignment horizontal="left" vertical="center"/>
    </xf>
    <xf numFmtId="0" fontId="7" fillId="0" borderId="14" xfId="0" applyFont="1" applyBorder="1" applyAlignment="1" applyProtection="1">
      <alignment horizontal="left" vertical="center"/>
    </xf>
    <xf numFmtId="0" fontId="7" fillId="0" borderId="11"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23" fillId="0" borderId="1" xfId="0" applyFont="1" applyFill="1" applyBorder="1" applyAlignment="1" applyProtection="1">
      <alignment horizontal="left" vertical="top"/>
    </xf>
    <xf numFmtId="0" fontId="9" fillId="0" borderId="0" xfId="0" applyFont="1" applyFill="1" applyBorder="1" applyAlignment="1" applyProtection="1">
      <alignment horizontal="center"/>
    </xf>
    <xf numFmtId="0" fontId="9" fillId="0" borderId="5" xfId="0" applyFont="1" applyFill="1" applyBorder="1" applyAlignment="1" applyProtection="1">
      <alignment horizontal="center"/>
    </xf>
    <xf numFmtId="0" fontId="10" fillId="2" borderId="3" xfId="0" applyFont="1" applyFill="1" applyBorder="1" applyAlignment="1" applyProtection="1">
      <alignment horizontal="center" vertical="center" wrapText="1"/>
    </xf>
    <xf numFmtId="14" fontId="4" fillId="3" borderId="32" xfId="0" applyNumberFormat="1" applyFont="1" applyFill="1" applyBorder="1" applyAlignment="1" applyProtection="1">
      <alignment horizontal="center" vertical="center"/>
    </xf>
    <xf numFmtId="14" fontId="4" fillId="3" borderId="33" xfId="0" applyNumberFormat="1" applyFont="1" applyFill="1" applyBorder="1" applyAlignment="1" applyProtection="1">
      <alignment horizontal="center" vertical="center"/>
    </xf>
    <xf numFmtId="0" fontId="4" fillId="6" borderId="30" xfId="0" applyFont="1" applyFill="1" applyBorder="1" applyAlignment="1" applyProtection="1">
      <alignment horizontal="center" vertical="center"/>
    </xf>
    <xf numFmtId="0" fontId="4" fillId="6" borderId="31" xfId="0" applyFont="1" applyFill="1" applyBorder="1" applyAlignment="1" applyProtection="1">
      <alignment horizontal="center" vertical="center"/>
    </xf>
    <xf numFmtId="0" fontId="5" fillId="6" borderId="26" xfId="0" applyFont="1" applyFill="1" applyBorder="1" applyAlignment="1" applyProtection="1">
      <alignment horizontal="left" vertical="center"/>
    </xf>
    <xf numFmtId="0" fontId="5" fillId="6" borderId="4" xfId="0" applyFont="1" applyFill="1" applyBorder="1" applyAlignment="1" applyProtection="1">
      <alignment horizontal="left" vertical="center"/>
    </xf>
    <xf numFmtId="0" fontId="5" fillId="6" borderId="6" xfId="0" applyFont="1" applyFill="1" applyBorder="1" applyAlignment="1" applyProtection="1">
      <alignment horizontal="left" vertical="center"/>
    </xf>
    <xf numFmtId="0" fontId="10" fillId="2" borderId="18" xfId="0" applyFont="1" applyFill="1" applyBorder="1" applyAlignment="1" applyProtection="1">
      <alignment horizontal="center" vertical="center" wrapText="1"/>
    </xf>
    <xf numFmtId="0" fontId="10" fillId="2" borderId="15"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16"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0" borderId="0" xfId="0" applyFont="1" applyBorder="1" applyAlignment="1" applyProtection="1">
      <alignment horizontal="left" vertical="center"/>
    </xf>
    <xf numFmtId="0" fontId="10" fillId="2" borderId="0" xfId="0" applyFont="1" applyFill="1" applyBorder="1" applyAlignment="1" applyProtection="1">
      <alignment horizontal="center" vertical="center" wrapText="1"/>
    </xf>
    <xf numFmtId="9" fontId="14" fillId="3" borderId="22" xfId="0" applyNumberFormat="1" applyFont="1" applyFill="1" applyBorder="1" applyAlignment="1" applyProtection="1">
      <alignment horizontal="center" vertical="center"/>
    </xf>
    <xf numFmtId="9" fontId="14" fillId="3" borderId="3" xfId="0" applyNumberFormat="1" applyFont="1" applyFill="1" applyBorder="1" applyAlignment="1" applyProtection="1">
      <alignment horizontal="center" vertical="center"/>
    </xf>
    <xf numFmtId="9" fontId="14" fillId="3" borderId="26" xfId="0" applyNumberFormat="1" applyFont="1" applyFill="1" applyBorder="1" applyAlignment="1" applyProtection="1">
      <alignment horizontal="center" vertical="center"/>
    </xf>
    <xf numFmtId="9" fontId="14" fillId="3" borderId="4" xfId="0" applyNumberFormat="1" applyFont="1" applyFill="1" applyBorder="1" applyAlignment="1" applyProtection="1">
      <alignment horizontal="center" vertical="center"/>
    </xf>
    <xf numFmtId="0" fontId="10" fillId="2" borderId="19" xfId="0" applyFont="1" applyFill="1" applyBorder="1" applyAlignment="1" applyProtection="1">
      <alignment horizontal="left" vertical="center" wrapText="1"/>
    </xf>
    <xf numFmtId="0" fontId="10" fillId="2" borderId="20"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6" xfId="0" applyFont="1" applyFill="1" applyBorder="1" applyAlignment="1" applyProtection="1">
      <alignment horizontal="center" vertical="center" wrapText="1"/>
    </xf>
    <xf numFmtId="165" fontId="5" fillId="6" borderId="21" xfId="0" applyNumberFormat="1" applyFont="1" applyFill="1" applyBorder="1" applyAlignment="1" applyProtection="1">
      <alignment horizontal="center" vertical="center"/>
    </xf>
    <xf numFmtId="165" fontId="5" fillId="6" borderId="20" xfId="0" applyNumberFormat="1" applyFont="1" applyFill="1" applyBorder="1" applyAlignment="1" applyProtection="1">
      <alignment horizontal="center" vertical="center"/>
    </xf>
    <xf numFmtId="0" fontId="14" fillId="3" borderId="5" xfId="0" applyFont="1" applyFill="1" applyBorder="1" applyAlignment="1" applyProtection="1">
      <alignment horizontal="left" vertical="center"/>
    </xf>
    <xf numFmtId="0" fontId="10" fillId="2" borderId="15"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4" fillId="6" borderId="17" xfId="0" applyFont="1" applyFill="1" applyBorder="1" applyAlignment="1" applyProtection="1">
      <alignment horizontal="left" vertical="center"/>
    </xf>
    <xf numFmtId="0" fontId="14" fillId="6" borderId="18" xfId="0" applyFont="1" applyFill="1" applyBorder="1" applyAlignment="1" applyProtection="1">
      <alignment horizontal="left" vertical="center"/>
    </xf>
    <xf numFmtId="0" fontId="8" fillId="3" borderId="11"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10" fillId="2" borderId="19" xfId="0" applyFont="1" applyFill="1" applyBorder="1" applyAlignment="1" applyProtection="1">
      <alignment horizontal="left" vertical="center"/>
    </xf>
    <xf numFmtId="0" fontId="10" fillId="2" borderId="20"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2" fontId="5" fillId="6" borderId="21" xfId="0" applyNumberFormat="1" applyFont="1" applyFill="1" applyBorder="1" applyAlignment="1" applyProtection="1">
      <alignment horizontal="center" vertical="center"/>
    </xf>
    <xf numFmtId="2" fontId="5" fillId="6" borderId="20" xfId="0" applyNumberFormat="1" applyFont="1" applyFill="1" applyBorder="1" applyAlignment="1" applyProtection="1">
      <alignment horizontal="center" vertical="center"/>
    </xf>
    <xf numFmtId="2" fontId="5" fillId="6" borderId="22" xfId="0" applyNumberFormat="1" applyFont="1" applyFill="1" applyBorder="1" applyAlignment="1" applyProtection="1">
      <alignment horizontal="center" vertical="center"/>
    </xf>
    <xf numFmtId="2" fontId="5" fillId="6" borderId="3" xfId="0" applyNumberFormat="1" applyFont="1" applyFill="1" applyBorder="1" applyAlignment="1" applyProtection="1">
      <alignment horizontal="center" vertical="center"/>
    </xf>
    <xf numFmtId="0" fontId="10" fillId="3" borderId="3" xfId="0" applyFont="1" applyFill="1" applyBorder="1" applyAlignment="1" applyProtection="1">
      <alignment horizontal="left" vertical="center"/>
    </xf>
    <xf numFmtId="0" fontId="10" fillId="0" borderId="34" xfId="0" applyFont="1" applyBorder="1" applyAlignment="1" applyProtection="1">
      <alignment horizontal="left" vertical="center"/>
    </xf>
    <xf numFmtId="0" fontId="10" fillId="0" borderId="35" xfId="0" applyFont="1" applyBorder="1" applyAlignment="1" applyProtection="1">
      <alignment horizontal="left" vertical="center"/>
    </xf>
    <xf numFmtId="0" fontId="10" fillId="0" borderId="34" xfId="0" applyFont="1" applyBorder="1" applyAlignment="1" applyProtection="1">
      <alignment horizontal="left" vertical="center" wrapText="1"/>
    </xf>
    <xf numFmtId="0" fontId="10" fillId="0" borderId="35" xfId="0" applyFont="1" applyBorder="1" applyAlignment="1" applyProtection="1">
      <alignment horizontal="left" vertical="center" wrapText="1"/>
    </xf>
    <xf numFmtId="0" fontId="10" fillId="4" borderId="29" xfId="0" applyFont="1" applyFill="1" applyBorder="1" applyAlignment="1" applyProtection="1">
      <alignment horizontal="left" vertical="center"/>
    </xf>
    <xf numFmtId="0" fontId="10" fillId="4" borderId="11" xfId="0" applyFont="1" applyFill="1" applyBorder="1" applyAlignment="1" applyProtection="1">
      <alignment horizontal="left" vertical="center"/>
    </xf>
    <xf numFmtId="0" fontId="10" fillId="4" borderId="16" xfId="0" applyFont="1" applyFill="1" applyBorder="1" applyAlignment="1" applyProtection="1">
      <alignment horizontal="left" vertical="center"/>
    </xf>
    <xf numFmtId="0" fontId="10" fillId="4" borderId="4" xfId="0" applyFont="1" applyFill="1" applyBorder="1" applyAlignment="1" applyProtection="1">
      <alignment horizontal="left" vertical="center"/>
    </xf>
    <xf numFmtId="3" fontId="5" fillId="6" borderId="22" xfId="0" applyNumberFormat="1" applyFont="1" applyFill="1" applyBorder="1" applyAlignment="1" applyProtection="1">
      <alignment horizontal="center" vertical="center"/>
    </xf>
    <xf numFmtId="3" fontId="5" fillId="6" borderId="3" xfId="0" applyNumberFormat="1" applyFont="1" applyFill="1" applyBorder="1" applyAlignment="1" applyProtection="1">
      <alignment horizontal="center" vertical="center"/>
    </xf>
    <xf numFmtId="3" fontId="5" fillId="6" borderId="26" xfId="0" applyNumberFormat="1" applyFont="1" applyFill="1" applyBorder="1" applyAlignment="1" applyProtection="1">
      <alignment horizontal="center" vertical="center"/>
    </xf>
    <xf numFmtId="3" fontId="5" fillId="6" borderId="4" xfId="0" applyNumberFormat="1" applyFont="1" applyFill="1" applyBorder="1" applyAlignment="1" applyProtection="1">
      <alignment horizontal="center" vertical="center"/>
    </xf>
    <xf numFmtId="0" fontId="14" fillId="6" borderId="18" xfId="0" applyFont="1" applyFill="1" applyBorder="1" applyAlignment="1" applyProtection="1">
      <alignment horizontal="left" vertical="center" wrapText="1"/>
    </xf>
    <xf numFmtId="0" fontId="14" fillId="6" borderId="13" xfId="0" applyFont="1" applyFill="1" applyBorder="1" applyAlignment="1" applyProtection="1">
      <alignment horizontal="left" vertical="center" wrapText="1"/>
    </xf>
    <xf numFmtId="0" fontId="10" fillId="0" borderId="15"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1"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36" xfId="0" applyFont="1" applyFill="1" applyBorder="1" applyAlignment="1" applyProtection="1">
      <alignment horizontal="left" vertical="center"/>
    </xf>
    <xf numFmtId="0" fontId="14" fillId="6" borderId="13" xfId="0" applyFont="1" applyFill="1" applyBorder="1" applyAlignment="1" applyProtection="1">
      <alignment horizontal="left" vertical="center"/>
    </xf>
    <xf numFmtId="0" fontId="14" fillId="3" borderId="3"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1" fontId="14" fillId="3" borderId="3" xfId="0" applyNumberFormat="1" applyFont="1" applyFill="1" applyBorder="1" applyAlignment="1" applyProtection="1">
      <alignment horizontal="center" vertical="center"/>
    </xf>
    <xf numFmtId="1" fontId="14" fillId="3" borderId="4" xfId="0" applyNumberFormat="1" applyFont="1" applyFill="1" applyBorder="1" applyAlignment="1" applyProtection="1">
      <alignment horizontal="center" vertical="center"/>
    </xf>
    <xf numFmtId="3" fontId="20" fillId="6" borderId="22" xfId="0" applyNumberFormat="1" applyFont="1" applyFill="1" applyBorder="1" applyAlignment="1" applyProtection="1">
      <alignment horizontal="center" vertical="center" wrapText="1"/>
    </xf>
    <xf numFmtId="3" fontId="20" fillId="6" borderId="3" xfId="0" applyNumberFormat="1" applyFont="1" applyFill="1" applyBorder="1" applyAlignment="1" applyProtection="1">
      <alignment horizontal="center" vertical="center" wrapText="1"/>
    </xf>
    <xf numFmtId="3" fontId="20" fillId="6" borderId="26" xfId="0" applyNumberFormat="1" applyFont="1" applyFill="1" applyBorder="1" applyAlignment="1" applyProtection="1">
      <alignment horizontal="center" vertical="center" wrapText="1"/>
    </xf>
    <xf numFmtId="3" fontId="20" fillId="6" borderId="4" xfId="0" applyNumberFormat="1" applyFont="1" applyFill="1" applyBorder="1" applyAlignment="1" applyProtection="1">
      <alignment horizontal="center" vertical="center" wrapText="1"/>
    </xf>
    <xf numFmtId="0" fontId="10" fillId="4" borderId="27" xfId="0" applyFont="1" applyFill="1" applyBorder="1" applyAlignment="1" applyProtection="1">
      <alignment horizontal="left" vertical="center"/>
    </xf>
    <xf numFmtId="0" fontId="10" fillId="4" borderId="6" xfId="0" applyFont="1" applyFill="1" applyBorder="1" applyAlignment="1" applyProtection="1">
      <alignment horizontal="left" vertical="center"/>
    </xf>
    <xf numFmtId="0" fontId="10" fillId="3" borderId="27" xfId="0" applyFont="1" applyFill="1" applyBorder="1" applyAlignment="1" applyProtection="1">
      <alignment horizontal="left" vertical="center"/>
    </xf>
    <xf numFmtId="0" fontId="10" fillId="3" borderId="7" xfId="0"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7" fillId="4" borderId="14" xfId="0" applyFont="1" applyFill="1" applyBorder="1" applyAlignment="1" applyProtection="1">
      <alignment horizontal="center" vertical="center"/>
    </xf>
    <xf numFmtId="2" fontId="14" fillId="3" borderId="11" xfId="0" applyNumberFormat="1" applyFont="1" applyFill="1" applyBorder="1" applyAlignment="1" applyProtection="1">
      <alignment horizontal="center" vertical="center"/>
    </xf>
    <xf numFmtId="2" fontId="14" fillId="3" borderId="14" xfId="0" applyNumberFormat="1" applyFont="1" applyFill="1" applyBorder="1" applyAlignment="1" applyProtection="1">
      <alignment horizontal="center" vertical="center"/>
    </xf>
    <xf numFmtId="0" fontId="10" fillId="2" borderId="5" xfId="0" applyFont="1" applyFill="1" applyBorder="1" applyAlignment="1" applyProtection="1">
      <alignment horizontal="center" vertical="center" wrapText="1"/>
    </xf>
    <xf numFmtId="0" fontId="14" fillId="3" borderId="0" xfId="0" applyFont="1" applyFill="1" applyBorder="1" applyAlignment="1" applyProtection="1">
      <alignment horizontal="left" vertical="center"/>
    </xf>
    <xf numFmtId="0" fontId="14" fillId="3" borderId="4" xfId="0" applyFont="1" applyFill="1" applyBorder="1" applyAlignment="1" applyProtection="1">
      <alignment horizontal="left" vertical="center"/>
    </xf>
    <xf numFmtId="2" fontId="14" fillId="4" borderId="11" xfId="0" applyNumberFormat="1" applyFont="1" applyFill="1" applyBorder="1" applyAlignment="1" applyProtection="1">
      <alignment horizontal="center" vertical="center"/>
    </xf>
    <xf numFmtId="2" fontId="14" fillId="4" borderId="14" xfId="0" applyNumberFormat="1" applyFont="1" applyFill="1" applyBorder="1" applyAlignment="1" applyProtection="1">
      <alignment horizontal="center" vertical="center"/>
    </xf>
    <xf numFmtId="0" fontId="14" fillId="4" borderId="12" xfId="0" applyFont="1" applyFill="1" applyBorder="1" applyAlignment="1" applyProtection="1">
      <alignment horizontal="center" vertical="center"/>
    </xf>
    <xf numFmtId="0" fontId="14" fillId="4" borderId="23" xfId="0" applyFont="1" applyFill="1" applyBorder="1" applyAlignment="1" applyProtection="1">
      <alignment horizontal="center" vertical="center"/>
    </xf>
    <xf numFmtId="0" fontId="10" fillId="2" borderId="2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xf>
    <xf numFmtId="0" fontId="10" fillId="2" borderId="25"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xf>
    <xf numFmtId="0" fontId="10" fillId="2" borderId="26" xfId="0" applyFont="1" applyFill="1" applyBorder="1" applyAlignment="1" applyProtection="1">
      <alignment horizontal="center" vertical="center"/>
    </xf>
    <xf numFmtId="0" fontId="10" fillId="0" borderId="15" xfId="0" applyFont="1" applyBorder="1" applyAlignment="1" applyProtection="1">
      <alignment horizontal="left" vertical="top" wrapText="1"/>
    </xf>
    <xf numFmtId="0" fontId="10" fillId="0" borderId="3" xfId="0" applyFont="1" applyBorder="1" applyAlignment="1" applyProtection="1">
      <alignment horizontal="left" vertical="top" wrapText="1"/>
    </xf>
    <xf numFmtId="0" fontId="10" fillId="0" borderId="1"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2" borderId="26" xfId="0" applyFont="1" applyFill="1" applyBorder="1" applyAlignment="1" applyProtection="1">
      <alignment horizontal="center" vertical="center" wrapText="1"/>
    </xf>
    <xf numFmtId="0" fontId="14" fillId="6" borderId="5" xfId="0" applyFont="1" applyFill="1" applyBorder="1" applyAlignment="1" applyProtection="1">
      <alignment horizontal="left" vertical="center"/>
    </xf>
    <xf numFmtId="0" fontId="20" fillId="6" borderId="22" xfId="0" applyFont="1" applyFill="1" applyBorder="1" applyAlignment="1" applyProtection="1">
      <alignment horizontal="center" vertical="center"/>
    </xf>
    <xf numFmtId="0" fontId="20" fillId="6" borderId="3" xfId="0" applyFont="1" applyFill="1" applyBorder="1" applyAlignment="1" applyProtection="1">
      <alignment horizontal="center" vertical="center"/>
    </xf>
    <xf numFmtId="0" fontId="20" fillId="6" borderId="26" xfId="0" applyFont="1" applyFill="1" applyBorder="1" applyAlignment="1" applyProtection="1">
      <alignment horizontal="center" vertical="center"/>
    </xf>
    <xf numFmtId="0" fontId="20" fillId="6" borderId="4" xfId="0" applyFont="1" applyFill="1" applyBorder="1" applyAlignment="1" applyProtection="1">
      <alignment horizontal="center" vertical="center"/>
    </xf>
    <xf numFmtId="0" fontId="10" fillId="0" borderId="36" xfId="0" applyFont="1" applyBorder="1" applyAlignment="1" applyProtection="1">
      <alignment horizontal="left" vertical="center"/>
    </xf>
    <xf numFmtId="9" fontId="5" fillId="6" borderId="25" xfId="0" applyNumberFormat="1" applyFont="1" applyFill="1" applyBorder="1" applyAlignment="1" applyProtection="1">
      <alignment horizontal="center" vertical="center"/>
    </xf>
    <xf numFmtId="9" fontId="5" fillId="6" borderId="0" xfId="0" applyNumberFormat="1" applyFont="1" applyFill="1" applyBorder="1" applyAlignment="1" applyProtection="1">
      <alignment horizontal="center" vertical="center"/>
    </xf>
    <xf numFmtId="9" fontId="5" fillId="6" borderId="26" xfId="0" applyNumberFormat="1" applyFont="1" applyFill="1" applyBorder="1" applyAlignment="1" applyProtection="1">
      <alignment horizontal="center" vertical="center"/>
    </xf>
    <xf numFmtId="9" fontId="5" fillId="6" borderId="4" xfId="0" applyNumberFormat="1" applyFont="1" applyFill="1" applyBorder="1" applyAlignment="1" applyProtection="1">
      <alignment horizontal="center" vertical="center"/>
    </xf>
    <xf numFmtId="1" fontId="8" fillId="3" borderId="22" xfId="0" applyNumberFormat="1" applyFont="1" applyFill="1" applyBorder="1" applyAlignment="1" applyProtection="1">
      <alignment horizontal="center" vertical="center"/>
    </xf>
    <xf numFmtId="1" fontId="8" fillId="3" borderId="3" xfId="0" applyNumberFormat="1" applyFont="1" applyFill="1" applyBorder="1" applyAlignment="1" applyProtection="1">
      <alignment horizontal="center" vertical="center"/>
    </xf>
    <xf numFmtId="1" fontId="8" fillId="3" borderId="26" xfId="0" applyNumberFormat="1" applyFont="1" applyFill="1" applyBorder="1" applyAlignment="1" applyProtection="1">
      <alignment horizontal="center" vertical="center"/>
    </xf>
    <xf numFmtId="1" fontId="8" fillId="3" borderId="4" xfId="0" applyNumberFormat="1" applyFont="1" applyFill="1" applyBorder="1" applyAlignment="1" applyProtection="1">
      <alignment horizontal="center" vertical="center"/>
    </xf>
    <xf numFmtId="9" fontId="20" fillId="6" borderId="25" xfId="0" applyNumberFormat="1" applyFont="1" applyFill="1" applyBorder="1" applyAlignment="1" applyProtection="1">
      <alignment horizontal="center" vertical="center"/>
    </xf>
    <xf numFmtId="9" fontId="20" fillId="6" borderId="0" xfId="0" applyNumberFormat="1" applyFont="1" applyFill="1" applyBorder="1" applyAlignment="1" applyProtection="1">
      <alignment horizontal="center" vertical="center"/>
    </xf>
    <xf numFmtId="9" fontId="20" fillId="6" borderId="36" xfId="0" applyNumberFormat="1" applyFont="1" applyFill="1" applyBorder="1" applyAlignment="1" applyProtection="1">
      <alignment horizontal="center" vertical="center"/>
    </xf>
    <xf numFmtId="9" fontId="20" fillId="6" borderId="26" xfId="0" applyNumberFormat="1" applyFont="1" applyFill="1" applyBorder="1" applyAlignment="1" applyProtection="1">
      <alignment horizontal="center" vertical="center"/>
    </xf>
    <xf numFmtId="9" fontId="20" fillId="6" borderId="4" xfId="0" applyNumberFormat="1" applyFont="1" applyFill="1" applyBorder="1" applyAlignment="1" applyProtection="1">
      <alignment horizontal="center" vertical="center"/>
    </xf>
    <xf numFmtId="9" fontId="20" fillId="6" borderId="6" xfId="0" applyNumberFormat="1"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26" fillId="4" borderId="0" xfId="0" applyFont="1" applyFill="1" applyBorder="1" applyAlignment="1" applyProtection="1">
      <alignment horizontal="right" vertical="center"/>
    </xf>
    <xf numFmtId="2" fontId="5" fillId="6" borderId="25" xfId="0" applyNumberFormat="1" applyFont="1" applyFill="1" applyBorder="1" applyAlignment="1" applyProtection="1">
      <alignment horizontal="center" vertical="center"/>
    </xf>
    <xf numFmtId="2" fontId="5" fillId="6" borderId="0" xfId="0" applyNumberFormat="1" applyFont="1" applyFill="1" applyBorder="1" applyAlignment="1" applyProtection="1">
      <alignment horizontal="center" vertical="center"/>
    </xf>
    <xf numFmtId="0" fontId="14" fillId="6" borderId="2" xfId="0" applyFont="1" applyFill="1" applyBorder="1" applyAlignment="1" applyProtection="1">
      <alignment horizontal="left" vertical="center"/>
    </xf>
    <xf numFmtId="0" fontId="14" fillId="6" borderId="36" xfId="0" applyFont="1" applyFill="1" applyBorder="1" applyAlignment="1" applyProtection="1">
      <alignment horizontal="left" vertical="center"/>
    </xf>
    <xf numFmtId="2" fontId="14" fillId="3" borderId="3" xfId="0" applyNumberFormat="1" applyFont="1" applyFill="1" applyBorder="1" applyAlignment="1" applyProtection="1">
      <alignment horizontal="center" vertical="center"/>
    </xf>
    <xf numFmtId="2" fontId="14" fillId="3" borderId="0" xfId="0" applyNumberFormat="1" applyFont="1" applyFill="1" applyBorder="1" applyAlignment="1" applyProtection="1">
      <alignment horizontal="center" vertical="center"/>
    </xf>
    <xf numFmtId="0" fontId="14" fillId="6" borderId="3" xfId="0" applyFont="1" applyFill="1" applyBorder="1" applyAlignment="1" applyProtection="1">
      <alignment horizontal="left" vertical="center"/>
    </xf>
    <xf numFmtId="0" fontId="14" fillId="6" borderId="0" xfId="0" applyFont="1" applyFill="1" applyBorder="1" applyAlignment="1" applyProtection="1">
      <alignment horizontal="left" vertical="center"/>
    </xf>
    <xf numFmtId="0" fontId="10" fillId="0" borderId="36" xfId="0" applyFont="1" applyBorder="1" applyAlignment="1" applyProtection="1">
      <alignment horizontal="left" vertical="center" wrapText="1"/>
    </xf>
    <xf numFmtId="9" fontId="20" fillId="8" borderId="25" xfId="0" applyNumberFormat="1" applyFont="1" applyFill="1" applyBorder="1" applyAlignment="1" applyProtection="1">
      <alignment horizontal="center" vertical="center"/>
      <protection locked="0"/>
    </xf>
    <xf numFmtId="9" fontId="20" fillId="8" borderId="0" xfId="0" applyNumberFormat="1" applyFont="1" applyFill="1" applyBorder="1" applyAlignment="1" applyProtection="1">
      <alignment horizontal="center" vertical="center"/>
      <protection locked="0"/>
    </xf>
    <xf numFmtId="9" fontId="20" fillId="8" borderId="36" xfId="0" applyNumberFormat="1" applyFont="1" applyFill="1" applyBorder="1" applyAlignment="1" applyProtection="1">
      <alignment horizontal="center" vertical="center"/>
      <protection locked="0"/>
    </xf>
    <xf numFmtId="9" fontId="20" fillId="8" borderId="26" xfId="0" applyNumberFormat="1" applyFont="1" applyFill="1" applyBorder="1" applyAlignment="1" applyProtection="1">
      <alignment horizontal="center" vertical="center"/>
      <protection locked="0"/>
    </xf>
    <xf numFmtId="9" fontId="20" fillId="8" borderId="4" xfId="0" applyNumberFormat="1" applyFont="1" applyFill="1" applyBorder="1" applyAlignment="1" applyProtection="1">
      <alignment horizontal="center" vertical="center"/>
      <protection locked="0"/>
    </xf>
    <xf numFmtId="9" fontId="20" fillId="8" borderId="6" xfId="0" applyNumberFormat="1" applyFont="1" applyFill="1" applyBorder="1" applyAlignment="1" applyProtection="1">
      <alignment horizontal="center" vertical="center"/>
      <protection locked="0"/>
    </xf>
    <xf numFmtId="0" fontId="26" fillId="7" borderId="0" xfId="0" applyFont="1" applyFill="1" applyBorder="1" applyAlignment="1" applyProtection="1">
      <alignment horizontal="right" vertical="center"/>
    </xf>
    <xf numFmtId="2" fontId="5" fillId="8" borderId="22" xfId="0" applyNumberFormat="1" applyFont="1" applyFill="1" applyBorder="1" applyAlignment="1" applyProtection="1">
      <alignment horizontal="center" vertical="center"/>
      <protection locked="0"/>
    </xf>
    <xf numFmtId="2" fontId="5" fillId="8" borderId="3" xfId="0" applyNumberFormat="1" applyFont="1" applyFill="1" applyBorder="1" applyAlignment="1" applyProtection="1">
      <alignment horizontal="center" vertical="center"/>
      <protection locked="0"/>
    </xf>
    <xf numFmtId="2" fontId="5" fillId="8" borderId="25" xfId="0" applyNumberFormat="1" applyFont="1" applyFill="1" applyBorder="1" applyAlignment="1" applyProtection="1">
      <alignment horizontal="center" vertical="center"/>
      <protection locked="0"/>
    </xf>
    <xf numFmtId="2" fontId="5" fillId="8" borderId="0" xfId="0" applyNumberFormat="1" applyFont="1" applyFill="1" applyBorder="1" applyAlignment="1" applyProtection="1">
      <alignment horizontal="center" vertical="center"/>
      <protection locked="0"/>
    </xf>
    <xf numFmtId="0" fontId="14" fillId="8" borderId="2" xfId="0" applyFont="1" applyFill="1" applyBorder="1" applyAlignment="1" applyProtection="1">
      <alignment horizontal="left" vertical="center"/>
    </xf>
    <xf numFmtId="0" fontId="14" fillId="8" borderId="36" xfId="0" applyFont="1" applyFill="1" applyBorder="1" applyAlignment="1" applyProtection="1">
      <alignment horizontal="left" vertical="center"/>
    </xf>
    <xf numFmtId="2" fontId="14" fillId="10" borderId="3" xfId="0" applyNumberFormat="1" applyFont="1" applyFill="1" applyBorder="1" applyAlignment="1" applyProtection="1">
      <alignment horizontal="center" vertical="center"/>
    </xf>
    <xf numFmtId="2" fontId="14" fillId="10" borderId="0" xfId="0" applyNumberFormat="1" applyFont="1" applyFill="1" applyBorder="1" applyAlignment="1" applyProtection="1">
      <alignment horizontal="center" vertical="center"/>
    </xf>
    <xf numFmtId="0" fontId="14" fillId="10" borderId="18" xfId="0" applyFont="1" applyFill="1" applyBorder="1" applyAlignment="1" applyProtection="1">
      <alignment horizontal="left" vertical="center"/>
    </xf>
    <xf numFmtId="0" fontId="14" fillId="10" borderId="5"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0" xfId="0" applyFont="1" applyFill="1" applyBorder="1" applyAlignment="1" applyProtection="1">
      <alignment horizontal="left" vertical="center"/>
    </xf>
    <xf numFmtId="0" fontId="10" fillId="9" borderId="22" xfId="0" applyFont="1" applyFill="1" applyBorder="1" applyAlignment="1" applyProtection="1">
      <alignment horizontal="center" vertical="center" wrapText="1"/>
    </xf>
    <xf numFmtId="0" fontId="10" fillId="9" borderId="3" xfId="0" applyFont="1" applyFill="1" applyBorder="1" applyAlignment="1" applyProtection="1">
      <alignment horizontal="center" vertical="center" wrapText="1"/>
    </xf>
    <xf numFmtId="0" fontId="10" fillId="9" borderId="25" xfId="0" applyFont="1" applyFill="1" applyBorder="1" applyAlignment="1" applyProtection="1">
      <alignment horizontal="center" vertical="center" wrapText="1"/>
    </xf>
    <xf numFmtId="0" fontId="10" fillId="9" borderId="0" xfId="0" applyFont="1" applyFill="1" applyBorder="1" applyAlignment="1" applyProtection="1">
      <alignment horizontal="center" vertical="center" wrapText="1"/>
    </xf>
    <xf numFmtId="0" fontId="10" fillId="9" borderId="4" xfId="0" applyFont="1" applyFill="1" applyBorder="1" applyAlignment="1" applyProtection="1">
      <alignment horizontal="center" vertical="center" wrapText="1"/>
    </xf>
    <xf numFmtId="0" fontId="10" fillId="9" borderId="13" xfId="0" applyFont="1" applyFill="1" applyBorder="1" applyAlignment="1" applyProtection="1">
      <alignment horizontal="center" vertical="center" wrapText="1"/>
    </xf>
    <xf numFmtId="0" fontId="14" fillId="10" borderId="13" xfId="0" applyFont="1" applyFill="1" applyBorder="1" applyAlignment="1" applyProtection="1">
      <alignment horizontal="left" vertical="center"/>
    </xf>
    <xf numFmtId="3" fontId="28" fillId="10" borderId="11" xfId="0" applyNumberFormat="1" applyFont="1" applyFill="1" applyBorder="1" applyAlignment="1" applyProtection="1">
      <alignment horizontal="center" vertical="center"/>
    </xf>
    <xf numFmtId="3" fontId="28" fillId="10" borderId="14" xfId="0" applyNumberFormat="1" applyFont="1" applyFill="1" applyBorder="1" applyAlignment="1" applyProtection="1">
      <alignment horizontal="center" vertical="center"/>
    </xf>
    <xf numFmtId="0" fontId="10" fillId="9" borderId="3" xfId="0" applyFont="1" applyFill="1" applyBorder="1" applyAlignment="1" applyProtection="1">
      <alignment horizontal="center" vertical="center"/>
    </xf>
    <xf numFmtId="0" fontId="10" fillId="9" borderId="18" xfId="0" applyFont="1" applyFill="1" applyBorder="1" applyAlignment="1" applyProtection="1">
      <alignment horizontal="center" vertical="center"/>
    </xf>
    <xf numFmtId="0" fontId="10" fillId="9" borderId="0" xfId="0" applyFont="1" applyFill="1" applyBorder="1" applyAlignment="1" applyProtection="1">
      <alignment horizontal="center" vertical="center"/>
    </xf>
    <xf numFmtId="0" fontId="10" fillId="9" borderId="5" xfId="0" applyFont="1" applyFill="1" applyBorder="1" applyAlignment="1" applyProtection="1">
      <alignment horizontal="center" vertical="center"/>
    </xf>
    <xf numFmtId="0" fontId="10" fillId="9" borderId="26" xfId="0" applyFont="1" applyFill="1" applyBorder="1" applyAlignment="1" applyProtection="1">
      <alignment horizontal="center" vertical="center"/>
    </xf>
    <xf numFmtId="0" fontId="10" fillId="9" borderId="4" xfId="0" applyFont="1" applyFill="1" applyBorder="1" applyAlignment="1" applyProtection="1">
      <alignment horizontal="center" vertical="center"/>
    </xf>
    <xf numFmtId="0" fontId="10" fillId="9" borderId="19" xfId="0" applyFont="1" applyFill="1" applyBorder="1" applyAlignment="1" applyProtection="1">
      <alignment horizontal="left" vertical="center"/>
    </xf>
    <xf numFmtId="0" fontId="10" fillId="9" borderId="20" xfId="0" applyFont="1" applyFill="1" applyBorder="1" applyAlignment="1" applyProtection="1">
      <alignment horizontal="left" vertical="center"/>
    </xf>
    <xf numFmtId="0" fontId="10" fillId="9" borderId="17" xfId="0" applyFont="1" applyFill="1" applyBorder="1" applyAlignment="1" applyProtection="1">
      <alignment horizontal="left" vertical="center"/>
    </xf>
    <xf numFmtId="0" fontId="10" fillId="9" borderId="26" xfId="0" applyFont="1" applyFill="1" applyBorder="1" applyAlignment="1" applyProtection="1">
      <alignment horizontal="center" vertical="center" wrapText="1"/>
    </xf>
    <xf numFmtId="0" fontId="14" fillId="8" borderId="18" xfId="0" applyFont="1" applyFill="1" applyBorder="1" applyAlignment="1" applyProtection="1">
      <alignment horizontal="left" vertical="center"/>
    </xf>
    <xf numFmtId="0" fontId="14" fillId="8" borderId="5" xfId="0" applyFont="1" applyFill="1" applyBorder="1" applyAlignment="1" applyProtection="1">
      <alignment horizontal="left" vertical="center"/>
    </xf>
    <xf numFmtId="0" fontId="10" fillId="9" borderId="13" xfId="0" applyFont="1" applyFill="1" applyBorder="1" applyAlignment="1" applyProtection="1">
      <alignment horizontal="center" vertical="center"/>
    </xf>
    <xf numFmtId="0" fontId="10" fillId="9" borderId="18" xfId="0" applyFont="1" applyFill="1" applyBorder="1" applyAlignment="1" applyProtection="1">
      <alignment horizontal="center" vertical="center" wrapText="1"/>
    </xf>
    <xf numFmtId="0" fontId="10" fillId="9" borderId="5" xfId="0" applyFont="1" applyFill="1" applyBorder="1" applyAlignment="1" applyProtection="1">
      <alignment horizontal="center" vertical="center" wrapText="1"/>
    </xf>
    <xf numFmtId="0" fontId="14" fillId="10" borderId="12" xfId="0" applyFont="1" applyFill="1" applyBorder="1" applyAlignment="1" applyProtection="1">
      <alignment horizontal="left" vertical="center"/>
    </xf>
    <xf numFmtId="0" fontId="14" fillId="10" borderId="23" xfId="0" applyFont="1" applyFill="1" applyBorder="1" applyAlignment="1" applyProtection="1">
      <alignment horizontal="left" vertical="center"/>
    </xf>
    <xf numFmtId="0" fontId="20" fillId="8" borderId="22" xfId="0" applyFont="1" applyFill="1" applyBorder="1" applyAlignment="1" applyProtection="1">
      <alignment horizontal="center" vertical="center"/>
      <protection locked="0"/>
    </xf>
    <xf numFmtId="0" fontId="20" fillId="8" borderId="3" xfId="0" applyFont="1" applyFill="1" applyBorder="1" applyAlignment="1" applyProtection="1">
      <alignment horizontal="center" vertical="center"/>
      <protection locked="0"/>
    </xf>
    <xf numFmtId="0" fontId="20" fillId="8" borderId="26" xfId="0" applyFont="1" applyFill="1" applyBorder="1" applyAlignment="1" applyProtection="1">
      <alignment horizontal="center" vertical="center"/>
      <protection locked="0"/>
    </xf>
    <xf numFmtId="0" fontId="20" fillId="8" borderId="4" xfId="0" applyFont="1" applyFill="1" applyBorder="1" applyAlignment="1" applyProtection="1">
      <alignment horizontal="center" vertical="center"/>
      <protection locked="0"/>
    </xf>
    <xf numFmtId="9" fontId="5" fillId="8" borderId="25" xfId="0" applyNumberFormat="1" applyFont="1" applyFill="1" applyBorder="1" applyAlignment="1" applyProtection="1">
      <alignment horizontal="center" vertical="center"/>
      <protection locked="0"/>
    </xf>
    <xf numFmtId="9" fontId="5" fillId="8" borderId="0" xfId="0" applyNumberFormat="1" applyFont="1" applyFill="1" applyBorder="1" applyAlignment="1" applyProtection="1">
      <alignment horizontal="center" vertical="center"/>
      <protection locked="0"/>
    </xf>
    <xf numFmtId="9" fontId="5" fillId="8" borderId="26" xfId="0" applyNumberFormat="1" applyFont="1" applyFill="1" applyBorder="1" applyAlignment="1" applyProtection="1">
      <alignment horizontal="center" vertical="center"/>
      <protection locked="0"/>
    </xf>
    <xf numFmtId="9" fontId="5" fillId="8" borderId="4" xfId="0" applyNumberFormat="1" applyFont="1" applyFill="1" applyBorder="1" applyAlignment="1" applyProtection="1">
      <alignment horizontal="center" vertical="center"/>
      <protection locked="0"/>
    </xf>
    <xf numFmtId="1" fontId="8" fillId="10" borderId="22" xfId="0" applyNumberFormat="1" applyFont="1" applyFill="1" applyBorder="1" applyAlignment="1" applyProtection="1">
      <alignment horizontal="center" vertical="center"/>
    </xf>
    <xf numFmtId="1" fontId="8" fillId="10" borderId="3" xfId="0" applyNumberFormat="1" applyFont="1" applyFill="1" applyBorder="1" applyAlignment="1" applyProtection="1">
      <alignment horizontal="center" vertical="center"/>
    </xf>
    <xf numFmtId="1" fontId="8" fillId="10" borderId="26" xfId="0" applyNumberFormat="1" applyFont="1" applyFill="1" applyBorder="1" applyAlignment="1" applyProtection="1">
      <alignment horizontal="center" vertical="center"/>
    </xf>
    <xf numFmtId="1" fontId="8" fillId="10" borderId="4" xfId="0" applyNumberFormat="1" applyFont="1" applyFill="1" applyBorder="1" applyAlignment="1" applyProtection="1">
      <alignment horizontal="center" vertical="center"/>
    </xf>
    <xf numFmtId="3" fontId="14" fillId="10" borderId="11" xfId="0" applyNumberFormat="1" applyFont="1" applyFill="1" applyBorder="1" applyAlignment="1" applyProtection="1">
      <alignment horizontal="center" vertical="center"/>
    </xf>
    <xf numFmtId="3" fontId="14" fillId="10" borderId="14" xfId="0" applyNumberFormat="1" applyFont="1" applyFill="1" applyBorder="1" applyAlignment="1" applyProtection="1">
      <alignment horizontal="center" vertical="center"/>
    </xf>
    <xf numFmtId="0" fontId="33" fillId="10" borderId="11" xfId="0" applyFont="1" applyFill="1" applyBorder="1" applyAlignment="1" applyProtection="1">
      <alignment horizontal="center" vertical="center"/>
    </xf>
    <xf numFmtId="0" fontId="33" fillId="10" borderId="14" xfId="0" applyFont="1" applyFill="1" applyBorder="1" applyAlignment="1" applyProtection="1">
      <alignment horizontal="center" vertical="center"/>
    </xf>
    <xf numFmtId="2" fontId="14" fillId="10" borderId="11" xfId="0" applyNumberFormat="1" applyFont="1" applyFill="1" applyBorder="1" applyAlignment="1" applyProtection="1">
      <alignment horizontal="center" vertical="center"/>
    </xf>
    <xf numFmtId="2" fontId="14" fillId="10" borderId="14" xfId="0" applyNumberFormat="1" applyFont="1" applyFill="1" applyBorder="1" applyAlignment="1" applyProtection="1">
      <alignment horizontal="center" vertical="center"/>
    </xf>
    <xf numFmtId="0" fontId="14" fillId="8" borderId="18" xfId="0" applyFont="1" applyFill="1" applyBorder="1" applyAlignment="1" applyProtection="1">
      <alignment horizontal="left" vertical="center" wrapText="1"/>
    </xf>
    <xf numFmtId="0" fontId="14" fillId="8" borderId="13" xfId="0" applyFont="1" applyFill="1" applyBorder="1" applyAlignment="1" applyProtection="1">
      <alignment horizontal="left" vertical="center" wrapText="1"/>
    </xf>
    <xf numFmtId="165" fontId="5" fillId="8" borderId="22" xfId="0" applyNumberFormat="1" applyFont="1" applyFill="1" applyBorder="1" applyAlignment="1" applyProtection="1">
      <alignment horizontal="center" vertical="center"/>
      <protection locked="0"/>
    </xf>
    <xf numFmtId="165" fontId="5" fillId="8" borderId="3" xfId="0" applyNumberFormat="1" applyFont="1" applyFill="1" applyBorder="1" applyAlignment="1" applyProtection="1">
      <alignment horizontal="center" vertical="center"/>
      <protection locked="0"/>
    </xf>
    <xf numFmtId="165" fontId="5" fillId="8" borderId="26" xfId="0" applyNumberFormat="1" applyFont="1" applyFill="1" applyBorder="1" applyAlignment="1" applyProtection="1">
      <alignment horizontal="center" vertical="center"/>
      <protection locked="0"/>
    </xf>
    <xf numFmtId="165" fontId="5" fillId="8" borderId="4" xfId="0" applyNumberFormat="1" applyFont="1" applyFill="1" applyBorder="1" applyAlignment="1" applyProtection="1">
      <alignment horizontal="center" vertical="center"/>
      <protection locked="0"/>
    </xf>
    <xf numFmtId="0" fontId="10" fillId="10" borderId="0" xfId="0" applyFont="1" applyFill="1" applyBorder="1" applyAlignment="1" applyProtection="1">
      <alignment horizontal="left" vertical="center" wrapText="1"/>
    </xf>
    <xf numFmtId="0" fontId="10" fillId="10" borderId="14" xfId="0" applyFont="1" applyFill="1" applyBorder="1" applyAlignment="1" applyProtection="1">
      <alignment horizontal="left" vertical="center" wrapText="1"/>
    </xf>
    <xf numFmtId="0" fontId="10" fillId="10" borderId="11" xfId="0" applyFont="1" applyFill="1" applyBorder="1" applyAlignment="1" applyProtection="1">
      <alignment horizontal="left" vertical="center"/>
    </xf>
    <xf numFmtId="0" fontId="10" fillId="10" borderId="14" xfId="0" applyFont="1" applyFill="1" applyBorder="1" applyAlignment="1" applyProtection="1">
      <alignment horizontal="left" vertical="center"/>
    </xf>
    <xf numFmtId="166" fontId="32" fillId="10" borderId="11" xfId="0" applyNumberFormat="1" applyFont="1" applyFill="1" applyBorder="1" applyAlignment="1" applyProtection="1">
      <alignment horizontal="center" vertical="center"/>
    </xf>
    <xf numFmtId="166" fontId="32" fillId="10" borderId="14" xfId="0" applyNumberFormat="1" applyFont="1" applyFill="1" applyBorder="1" applyAlignment="1" applyProtection="1">
      <alignment horizontal="center" vertical="center"/>
    </xf>
    <xf numFmtId="0" fontId="32" fillId="10" borderId="11" xfId="0" applyFont="1" applyFill="1" applyBorder="1" applyAlignment="1" applyProtection="1">
      <alignment horizontal="left" vertical="center"/>
    </xf>
    <xf numFmtId="0" fontId="32" fillId="10" borderId="14" xfId="0" applyFont="1" applyFill="1" applyBorder="1" applyAlignment="1" applyProtection="1">
      <alignment horizontal="left" vertical="center"/>
    </xf>
    <xf numFmtId="0" fontId="10" fillId="10" borderId="11" xfId="0" applyFont="1" applyFill="1" applyBorder="1" applyAlignment="1" applyProtection="1">
      <alignment horizontal="left" vertical="center" wrapText="1"/>
    </xf>
    <xf numFmtId="3" fontId="20" fillId="8" borderId="22" xfId="0" applyNumberFormat="1" applyFont="1" applyFill="1" applyBorder="1" applyAlignment="1" applyProtection="1">
      <alignment horizontal="center" vertical="center" wrapText="1"/>
      <protection locked="0"/>
    </xf>
    <xf numFmtId="3" fontId="20" fillId="8" borderId="3" xfId="0" applyNumberFormat="1" applyFont="1" applyFill="1" applyBorder="1" applyAlignment="1" applyProtection="1">
      <alignment horizontal="center" vertical="center" wrapText="1"/>
      <protection locked="0"/>
    </xf>
    <xf numFmtId="3" fontId="20" fillId="8" borderId="26" xfId="0" applyNumberFormat="1" applyFont="1" applyFill="1" applyBorder="1" applyAlignment="1" applyProtection="1">
      <alignment horizontal="center" vertical="center" wrapText="1"/>
      <protection locked="0"/>
    </xf>
    <xf numFmtId="3" fontId="20" fillId="8" borderId="4" xfId="0" applyNumberFormat="1" applyFont="1" applyFill="1" applyBorder="1" applyAlignment="1" applyProtection="1">
      <alignment horizontal="center" vertical="center" wrapText="1"/>
      <protection locked="0"/>
    </xf>
    <xf numFmtId="3" fontId="14" fillId="10" borderId="0" xfId="0" applyNumberFormat="1" applyFont="1" applyFill="1" applyBorder="1" applyAlignment="1" applyProtection="1">
      <alignment horizontal="center" vertical="center"/>
    </xf>
    <xf numFmtId="3" fontId="14" fillId="10" borderId="3" xfId="0" applyNumberFormat="1" applyFont="1" applyFill="1" applyBorder="1" applyAlignment="1" applyProtection="1">
      <alignment horizontal="center" vertical="center"/>
    </xf>
    <xf numFmtId="0" fontId="14" fillId="10" borderId="12" xfId="0" applyFont="1" applyFill="1" applyBorder="1" applyAlignment="1" applyProtection="1">
      <alignment horizontal="center" vertical="center"/>
    </xf>
    <xf numFmtId="0" fontId="14" fillId="10" borderId="23" xfId="0" applyFont="1" applyFill="1" applyBorder="1" applyAlignment="1" applyProtection="1">
      <alignment horizontal="center" vertical="center"/>
    </xf>
    <xf numFmtId="0" fontId="14" fillId="8" borderId="13" xfId="0" applyFont="1" applyFill="1" applyBorder="1" applyAlignment="1" applyProtection="1">
      <alignment horizontal="left" vertical="center"/>
    </xf>
    <xf numFmtId="0" fontId="14" fillId="10" borderId="3" xfId="0" applyFont="1" applyFill="1" applyBorder="1" applyAlignment="1" applyProtection="1">
      <alignment horizontal="center" vertical="center"/>
    </xf>
    <xf numFmtId="0" fontId="14" fillId="10" borderId="18" xfId="0" applyFont="1" applyFill="1" applyBorder="1" applyAlignment="1" applyProtection="1">
      <alignment horizontal="center" vertical="center"/>
    </xf>
    <xf numFmtId="0" fontId="14" fillId="10" borderId="4" xfId="0" applyFont="1" applyFill="1" applyBorder="1" applyAlignment="1" applyProtection="1">
      <alignment horizontal="center" vertical="center"/>
    </xf>
    <xf numFmtId="0" fontId="14" fillId="10" borderId="13" xfId="0" applyFont="1" applyFill="1" applyBorder="1" applyAlignment="1" applyProtection="1">
      <alignment horizontal="center" vertical="center"/>
    </xf>
    <xf numFmtId="1" fontId="14" fillId="10" borderId="3" xfId="0" applyNumberFormat="1" applyFont="1" applyFill="1" applyBorder="1" applyAlignment="1" applyProtection="1">
      <alignment horizontal="center" vertical="center"/>
    </xf>
    <xf numFmtId="1" fontId="14" fillId="10" borderId="4" xfId="0" applyNumberFormat="1" applyFont="1" applyFill="1" applyBorder="1" applyAlignment="1" applyProtection="1">
      <alignment horizontal="center" vertical="center"/>
    </xf>
    <xf numFmtId="0" fontId="14" fillId="8" borderId="17" xfId="0" applyFont="1" applyFill="1" applyBorder="1" applyAlignment="1" applyProtection="1">
      <alignment horizontal="left" vertical="center"/>
    </xf>
    <xf numFmtId="3" fontId="14" fillId="10" borderId="4" xfId="0" applyNumberFormat="1" applyFont="1" applyFill="1" applyBorder="1" applyAlignment="1" applyProtection="1">
      <alignment horizontal="center" vertical="center"/>
    </xf>
    <xf numFmtId="0" fontId="10" fillId="10" borderId="27" xfId="0" applyFont="1" applyFill="1" applyBorder="1" applyAlignment="1" applyProtection="1">
      <alignment horizontal="left" vertical="center"/>
    </xf>
    <xf numFmtId="0" fontId="10" fillId="10" borderId="7" xfId="0" applyFont="1" applyFill="1" applyBorder="1" applyAlignment="1" applyProtection="1">
      <alignment horizontal="left" vertical="center"/>
    </xf>
    <xf numFmtId="3" fontId="5" fillId="8" borderId="22" xfId="0" applyNumberFormat="1" applyFont="1" applyFill="1" applyBorder="1" applyAlignment="1" applyProtection="1">
      <alignment horizontal="center" vertical="center"/>
      <protection locked="0"/>
    </xf>
    <xf numFmtId="3" fontId="5" fillId="8" borderId="3" xfId="0" applyNumberFormat="1" applyFont="1" applyFill="1" applyBorder="1" applyAlignment="1" applyProtection="1">
      <alignment horizontal="center" vertical="center"/>
      <protection locked="0"/>
    </xf>
    <xf numFmtId="3" fontId="5" fillId="8" borderId="26" xfId="0" applyNumberFormat="1" applyFont="1" applyFill="1" applyBorder="1" applyAlignment="1" applyProtection="1">
      <alignment horizontal="center" vertical="center"/>
      <protection locked="0"/>
    </xf>
    <xf numFmtId="3" fontId="5" fillId="8" borderId="4" xfId="0" applyNumberFormat="1" applyFont="1" applyFill="1" applyBorder="1" applyAlignment="1" applyProtection="1">
      <alignment horizontal="center" vertical="center"/>
      <protection locked="0"/>
    </xf>
    <xf numFmtId="3" fontId="5" fillId="8" borderId="21" xfId="0" applyNumberFormat="1" applyFont="1" applyFill="1" applyBorder="1" applyAlignment="1" applyProtection="1">
      <alignment horizontal="center" vertical="center"/>
      <protection locked="0"/>
    </xf>
    <xf numFmtId="3" fontId="5" fillId="8" borderId="20" xfId="0" applyNumberFormat="1" applyFont="1" applyFill="1" applyBorder="1" applyAlignment="1" applyProtection="1">
      <alignment horizontal="center" vertical="center"/>
      <protection locked="0"/>
    </xf>
    <xf numFmtId="3" fontId="14" fillId="10" borderId="22" xfId="0" applyNumberFormat="1" applyFont="1" applyFill="1" applyBorder="1" applyAlignment="1" applyProtection="1">
      <alignment horizontal="center" vertical="center"/>
    </xf>
    <xf numFmtId="3" fontId="14" fillId="10" borderId="26" xfId="0" applyNumberFormat="1" applyFont="1" applyFill="1" applyBorder="1" applyAlignment="1" applyProtection="1">
      <alignment horizontal="center" vertical="center"/>
    </xf>
    <xf numFmtId="0" fontId="10" fillId="10" borderId="3" xfId="0" applyFont="1" applyFill="1" applyBorder="1" applyAlignment="1" applyProtection="1">
      <alignment horizontal="left" vertical="center"/>
    </xf>
    <xf numFmtId="9" fontId="14" fillId="10" borderId="22" xfId="0" applyNumberFormat="1" applyFont="1" applyFill="1" applyBorder="1" applyAlignment="1" applyProtection="1">
      <alignment horizontal="center" vertical="center"/>
    </xf>
    <xf numFmtId="9" fontId="14" fillId="10" borderId="3" xfId="0" applyNumberFormat="1" applyFont="1" applyFill="1" applyBorder="1" applyAlignment="1" applyProtection="1">
      <alignment horizontal="center" vertical="center"/>
    </xf>
    <xf numFmtId="9" fontId="14" fillId="10" borderId="26" xfId="0" applyNumberFormat="1" applyFont="1" applyFill="1" applyBorder="1" applyAlignment="1" applyProtection="1">
      <alignment horizontal="center" vertical="center"/>
    </xf>
    <xf numFmtId="9" fontId="14" fillId="10" borderId="4" xfId="0" applyNumberFormat="1" applyFont="1" applyFill="1" applyBorder="1" applyAlignment="1" applyProtection="1">
      <alignment horizontal="center" vertical="center"/>
    </xf>
    <xf numFmtId="0" fontId="10" fillId="9" borderId="15"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4" fillId="10" borderId="0" xfId="0" applyFont="1" applyFill="1" applyBorder="1" applyAlignment="1" applyProtection="1">
      <alignment horizontal="left" vertical="center"/>
    </xf>
    <xf numFmtId="0" fontId="14" fillId="10" borderId="4" xfId="0" applyFont="1" applyFill="1" applyBorder="1" applyAlignment="1" applyProtection="1">
      <alignment horizontal="left" vertical="center"/>
    </xf>
    <xf numFmtId="3" fontId="14" fillId="10" borderId="25" xfId="0" applyNumberFormat="1" applyFont="1" applyFill="1" applyBorder="1" applyAlignment="1" applyProtection="1">
      <alignment horizontal="center" vertical="center"/>
    </xf>
    <xf numFmtId="0" fontId="10" fillId="9" borderId="15" xfId="0" applyFont="1" applyFill="1" applyBorder="1" applyAlignment="1" applyProtection="1">
      <alignment horizontal="left" vertical="center" wrapText="1"/>
    </xf>
    <xf numFmtId="0" fontId="10" fillId="9" borderId="3" xfId="0" applyFont="1" applyFill="1" applyBorder="1" applyAlignment="1" applyProtection="1">
      <alignment horizontal="left" vertical="center" wrapText="1"/>
    </xf>
    <xf numFmtId="0" fontId="10" fillId="9" borderId="16" xfId="0" applyFont="1" applyFill="1" applyBorder="1" applyAlignment="1" applyProtection="1">
      <alignment horizontal="left" vertical="center" wrapText="1"/>
    </xf>
    <xf numFmtId="0" fontId="10" fillId="9" borderId="4" xfId="0" applyFont="1" applyFill="1" applyBorder="1" applyAlignment="1" applyProtection="1">
      <alignment horizontal="left" vertical="center" wrapText="1"/>
    </xf>
    <xf numFmtId="0" fontId="14" fillId="8" borderId="24" xfId="0" applyFont="1" applyFill="1" applyBorder="1" applyAlignment="1" applyProtection="1">
      <alignment horizontal="left" vertical="center"/>
    </xf>
    <xf numFmtId="164" fontId="10" fillId="10" borderId="11" xfId="0" applyNumberFormat="1" applyFont="1" applyFill="1" applyBorder="1" applyAlignment="1" applyProtection="1">
      <alignment horizontal="center" vertical="center"/>
    </xf>
    <xf numFmtId="164" fontId="10" fillId="10" borderId="4" xfId="0" applyNumberFormat="1" applyFont="1" applyFill="1" applyBorder="1" applyAlignment="1" applyProtection="1">
      <alignment horizontal="center" vertical="center"/>
    </xf>
    <xf numFmtId="164" fontId="10" fillId="10" borderId="27" xfId="0" applyNumberFormat="1" applyFont="1" applyFill="1" applyBorder="1" applyAlignment="1" applyProtection="1">
      <alignment horizontal="center" vertical="center"/>
    </xf>
    <xf numFmtId="164" fontId="10" fillId="10" borderId="6" xfId="0" applyNumberFormat="1" applyFont="1" applyFill="1" applyBorder="1" applyAlignment="1" applyProtection="1">
      <alignment horizontal="center" vertical="center"/>
    </xf>
    <xf numFmtId="0" fontId="10" fillId="9" borderId="19" xfId="0" applyFont="1" applyFill="1" applyBorder="1" applyAlignment="1" applyProtection="1">
      <alignment horizontal="left" vertical="center" wrapText="1"/>
    </xf>
    <xf numFmtId="0" fontId="10" fillId="9" borderId="20" xfId="0" applyFont="1" applyFill="1" applyBorder="1" applyAlignment="1" applyProtection="1">
      <alignment horizontal="left" vertical="center" wrapText="1"/>
    </xf>
    <xf numFmtId="0" fontId="10" fillId="9" borderId="17" xfId="0" applyFont="1" applyFill="1" applyBorder="1" applyAlignment="1" applyProtection="1">
      <alignment horizontal="left" vertical="center" wrapText="1"/>
    </xf>
    <xf numFmtId="0" fontId="29" fillId="0" borderId="15" xfId="0" applyFont="1" applyBorder="1" applyAlignment="1" applyProtection="1">
      <alignment horizontal="left" vertical="center"/>
    </xf>
    <xf numFmtId="0" fontId="29" fillId="0" borderId="3" xfId="0" applyFont="1" applyBorder="1" applyAlignment="1" applyProtection="1">
      <alignment horizontal="left" vertical="center"/>
    </xf>
    <xf numFmtId="0" fontId="29" fillId="0" borderId="18" xfId="0" applyFont="1" applyBorder="1" applyAlignment="1" applyProtection="1">
      <alignment horizontal="left" vertical="center"/>
    </xf>
    <xf numFmtId="0" fontId="29" fillId="0" borderId="1" xfId="0" applyFont="1" applyBorder="1" applyAlignment="1" applyProtection="1">
      <alignment horizontal="left" vertical="center"/>
    </xf>
    <xf numFmtId="0" fontId="29" fillId="0" borderId="0" xfId="0" applyFont="1" applyBorder="1" applyAlignment="1" applyProtection="1">
      <alignment horizontal="left" vertical="center"/>
    </xf>
    <xf numFmtId="0" fontId="29" fillId="0" borderId="5" xfId="0" applyFont="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5" xfId="0" applyFont="1" applyFill="1" applyBorder="1" applyAlignment="1" applyProtection="1">
      <alignment horizontal="left" vertical="center"/>
    </xf>
    <xf numFmtId="0" fontId="5" fillId="8" borderId="30" xfId="0" applyFont="1" applyFill="1" applyBorder="1" applyAlignment="1" applyProtection="1">
      <alignment horizontal="center" vertical="center"/>
      <protection locked="0"/>
    </xf>
    <xf numFmtId="0" fontId="5" fillId="8" borderId="31" xfId="0" applyFont="1" applyFill="1" applyBorder="1" applyAlignment="1" applyProtection="1">
      <alignment horizontal="center" vertical="center"/>
      <protection locked="0"/>
    </xf>
    <xf numFmtId="0" fontId="30" fillId="0" borderId="1" xfId="0" applyFont="1" applyFill="1" applyBorder="1" applyAlignment="1" applyProtection="1">
      <alignment horizontal="left" vertical="top"/>
    </xf>
    <xf numFmtId="14" fontId="4" fillId="10" borderId="32" xfId="0" applyNumberFormat="1" applyFont="1" applyFill="1" applyBorder="1" applyAlignment="1" applyProtection="1">
      <alignment horizontal="center" vertical="center"/>
    </xf>
    <xf numFmtId="14" fontId="4" fillId="10" borderId="33" xfId="0" applyNumberFormat="1" applyFont="1" applyFill="1" applyBorder="1" applyAlignment="1" applyProtection="1">
      <alignment horizontal="center" vertical="center"/>
    </xf>
    <xf numFmtId="0" fontId="4" fillId="8" borderId="30" xfId="0" applyFont="1" applyFill="1" applyBorder="1" applyAlignment="1" applyProtection="1">
      <alignment horizontal="center" vertical="center"/>
      <protection locked="0"/>
    </xf>
    <xf numFmtId="0" fontId="4" fillId="8" borderId="31" xfId="0" applyFont="1" applyFill="1" applyBorder="1" applyAlignment="1" applyProtection="1">
      <alignment horizontal="center" vertical="center"/>
      <protection locked="0"/>
    </xf>
    <xf numFmtId="0" fontId="24" fillId="8" borderId="22" xfId="0" applyFont="1" applyFill="1" applyBorder="1" applyAlignment="1" applyProtection="1">
      <alignment horizontal="center" vertical="center"/>
      <protection locked="0"/>
    </xf>
    <xf numFmtId="0" fontId="24" fillId="8" borderId="3" xfId="0" applyFont="1" applyFill="1" applyBorder="1" applyAlignment="1" applyProtection="1">
      <alignment horizontal="center" vertical="center"/>
      <protection locked="0"/>
    </xf>
    <xf numFmtId="0" fontId="24" fillId="8" borderId="18" xfId="0" applyFont="1" applyFill="1" applyBorder="1" applyAlignment="1" applyProtection="1">
      <alignment horizontal="center" vertical="center"/>
      <protection locked="0"/>
    </xf>
    <xf numFmtId="0" fontId="24" fillId="8" borderId="26" xfId="0" applyFont="1" applyFill="1" applyBorder="1" applyAlignment="1" applyProtection="1">
      <alignment horizontal="center" vertical="center"/>
      <protection locked="0"/>
    </xf>
    <xf numFmtId="0" fontId="24" fillId="8" borderId="4" xfId="0" applyFont="1" applyFill="1" applyBorder="1" applyAlignment="1" applyProtection="1">
      <alignment horizontal="center" vertical="center"/>
      <protection locked="0"/>
    </xf>
    <xf numFmtId="0" fontId="24" fillId="8" borderId="13" xfId="0" applyFont="1" applyFill="1" applyBorder="1" applyAlignment="1" applyProtection="1">
      <alignment horizontal="center" vertical="center"/>
      <protection locked="0"/>
    </xf>
    <xf numFmtId="0" fontId="5" fillId="8" borderId="22" xfId="0" applyFont="1" applyFill="1" applyBorder="1" applyAlignment="1" applyProtection="1">
      <alignment horizontal="left" vertical="center"/>
      <protection locked="0"/>
    </xf>
    <xf numFmtId="0" fontId="5" fillId="8" borderId="3" xfId="0" applyFont="1" applyFill="1" applyBorder="1" applyAlignment="1" applyProtection="1">
      <alignment horizontal="left" vertical="center"/>
      <protection locked="0"/>
    </xf>
    <xf numFmtId="0" fontId="5" fillId="8" borderId="2" xfId="0" applyFont="1" applyFill="1" applyBorder="1" applyAlignment="1" applyProtection="1">
      <alignment horizontal="left" vertical="center"/>
      <protection locked="0"/>
    </xf>
    <xf numFmtId="0" fontId="5" fillId="8" borderId="26" xfId="0" applyFont="1" applyFill="1" applyBorder="1" applyAlignment="1" applyProtection="1">
      <alignment horizontal="left" vertical="center"/>
      <protection locked="0"/>
    </xf>
    <xf numFmtId="0" fontId="5" fillId="8" borderId="4" xfId="0" applyFont="1" applyFill="1" applyBorder="1" applyAlignment="1" applyProtection="1">
      <alignment horizontal="left" vertical="center"/>
      <protection locked="0"/>
    </xf>
    <xf numFmtId="0" fontId="5" fillId="8" borderId="6" xfId="0" applyFont="1" applyFill="1" applyBorder="1" applyAlignment="1" applyProtection="1">
      <alignment horizontal="left" vertical="center"/>
      <protection locked="0"/>
    </xf>
    <xf numFmtId="0" fontId="10" fillId="9" borderId="1" xfId="0" applyFont="1" applyFill="1" applyBorder="1" applyAlignment="1" applyProtection="1">
      <alignment horizontal="left" vertical="center" wrapText="1"/>
    </xf>
    <xf numFmtId="0" fontId="10" fillId="9" borderId="0" xfId="0" applyFont="1" applyFill="1" applyBorder="1" applyAlignment="1" applyProtection="1">
      <alignment horizontal="left" vertical="center" wrapText="1"/>
    </xf>
    <xf numFmtId="0" fontId="10" fillId="9" borderId="5" xfId="0" applyFont="1" applyFill="1" applyBorder="1" applyAlignment="1" applyProtection="1">
      <alignment horizontal="left" vertical="center" wrapText="1"/>
    </xf>
    <xf numFmtId="164" fontId="10" fillId="10" borderId="14" xfId="0" applyNumberFormat="1" applyFont="1" applyFill="1" applyBorder="1" applyAlignment="1" applyProtection="1">
      <alignment horizontal="center" vertical="center"/>
    </xf>
    <xf numFmtId="164" fontId="10" fillId="10" borderId="7" xfId="0" applyNumberFormat="1" applyFont="1" applyFill="1" applyBorder="1" applyAlignment="1" applyProtection="1">
      <alignment horizontal="center" vertical="center"/>
    </xf>
    <xf numFmtId="0" fontId="10" fillId="10" borderId="4" xfId="0" applyFont="1" applyFill="1" applyBorder="1" applyAlignment="1" applyProtection="1">
      <alignment horizontal="left" vertical="center"/>
    </xf>
    <xf numFmtId="3" fontId="32" fillId="10" borderId="11" xfId="0" applyNumberFormat="1" applyFont="1" applyFill="1" applyBorder="1" applyAlignment="1" applyProtection="1">
      <alignment horizontal="center" vertical="center"/>
    </xf>
    <xf numFmtId="3" fontId="32" fillId="10" borderId="4" xfId="0" applyNumberFormat="1" applyFont="1" applyFill="1" applyBorder="1" applyAlignment="1" applyProtection="1">
      <alignment horizontal="center" vertical="center"/>
    </xf>
    <xf numFmtId="0" fontId="32" fillId="10" borderId="11" xfId="0" applyFont="1" applyFill="1" applyBorder="1" applyAlignment="1" applyProtection="1">
      <alignment horizontal="center" vertical="center"/>
    </xf>
    <xf numFmtId="0" fontId="32" fillId="10" borderId="4" xfId="0" applyFont="1" applyFill="1" applyBorder="1" applyAlignment="1" applyProtection="1">
      <alignment horizontal="center" vertical="center"/>
    </xf>
    <xf numFmtId="0" fontId="33" fillId="10" borderId="4" xfId="0" applyFont="1" applyFill="1" applyBorder="1" applyAlignment="1" applyProtection="1">
      <alignment horizontal="center" vertical="center"/>
    </xf>
    <xf numFmtId="0" fontId="14" fillId="10" borderId="11" xfId="0" applyNumberFormat="1" applyFont="1" applyFill="1" applyBorder="1" applyAlignment="1" applyProtection="1">
      <alignment horizontal="center" vertical="center"/>
    </xf>
    <xf numFmtId="0" fontId="14" fillId="10" borderId="12" xfId="0" applyNumberFormat="1" applyFont="1" applyFill="1" applyBorder="1" applyAlignment="1" applyProtection="1">
      <alignment horizontal="center" vertical="center"/>
    </xf>
    <xf numFmtId="0" fontId="14" fillId="10" borderId="4" xfId="0" applyNumberFormat="1" applyFont="1" applyFill="1" applyBorder="1" applyAlignment="1" applyProtection="1">
      <alignment horizontal="center" vertical="center"/>
    </xf>
    <xf numFmtId="0" fontId="14" fillId="10" borderId="13" xfId="0" applyNumberFormat="1" applyFont="1" applyFill="1" applyBorder="1" applyAlignment="1" applyProtection="1">
      <alignment horizontal="center" vertical="center"/>
    </xf>
    <xf numFmtId="164" fontId="10" fillId="10" borderId="3" xfId="0" applyNumberFormat="1" applyFont="1" applyFill="1" applyBorder="1" applyAlignment="1" applyProtection="1">
      <alignment horizontal="center" vertical="center"/>
    </xf>
    <xf numFmtId="164" fontId="10" fillId="10" borderId="2" xfId="0" applyNumberFormat="1" applyFont="1" applyFill="1" applyBorder="1" applyAlignment="1" applyProtection="1">
      <alignment horizontal="center" vertical="center"/>
    </xf>
    <xf numFmtId="0" fontId="8" fillId="10" borderId="11" xfId="0" applyFont="1" applyFill="1" applyBorder="1" applyAlignment="1" applyProtection="1">
      <alignment horizontal="center" vertical="center"/>
    </xf>
    <xf numFmtId="0" fontId="8" fillId="10" borderId="0" xfId="0" applyFont="1" applyFill="1" applyBorder="1" applyAlignment="1" applyProtection="1">
      <alignment horizontal="center" vertical="center"/>
    </xf>
    <xf numFmtId="2" fontId="5" fillId="8" borderId="21" xfId="0" applyNumberFormat="1" applyFont="1" applyFill="1" applyBorder="1" applyAlignment="1" applyProtection="1">
      <alignment horizontal="center" vertical="center"/>
      <protection locked="0"/>
    </xf>
    <xf numFmtId="2" fontId="5" fillId="8" borderId="20" xfId="0" applyNumberFormat="1" applyFont="1" applyFill="1" applyBorder="1" applyAlignment="1" applyProtection="1">
      <alignment horizontal="center" vertical="center"/>
      <protection locked="0"/>
    </xf>
    <xf numFmtId="0" fontId="10" fillId="9" borderId="16" xfId="0" applyFont="1" applyFill="1" applyBorder="1" applyAlignment="1" applyProtection="1">
      <alignment horizontal="center" vertical="center" wrapText="1"/>
    </xf>
    <xf numFmtId="0" fontId="10" fillId="10" borderId="0" xfId="0" applyFont="1" applyFill="1" applyBorder="1" applyAlignment="1" applyProtection="1">
      <alignment horizontal="left" vertical="center"/>
    </xf>
  </cellXfs>
  <cellStyles count="1">
    <cellStyle name="Normal" xfId="0" builtinId="0"/>
  </cellStyles>
  <dxfs count="12">
    <dxf>
      <font>
        <condense val="0"/>
        <extend val="0"/>
        <color indexed="10"/>
      </font>
      <fill>
        <patternFill patternType="solid">
          <bgColor indexed="43"/>
        </patternFill>
      </fill>
      <border>
        <left style="thin">
          <color indexed="10"/>
        </left>
        <right/>
        <top style="thin">
          <color indexed="10"/>
        </top>
        <bottom style="thin">
          <color indexed="10"/>
        </bottom>
      </border>
    </dxf>
    <dxf>
      <font>
        <condense val="0"/>
        <extend val="0"/>
        <color indexed="10"/>
      </font>
      <border>
        <left/>
        <right style="thin">
          <color indexed="10"/>
        </right>
        <top style="thin">
          <color indexed="10"/>
        </top>
        <bottom style="thin">
          <color indexed="10"/>
        </bottom>
      </border>
    </dxf>
    <dxf>
      <font>
        <condense val="0"/>
        <extend val="0"/>
        <color indexed="10"/>
      </font>
      <border>
        <left/>
        <right style="thin">
          <color indexed="10"/>
        </right>
        <top style="thin">
          <color indexed="10"/>
        </top>
        <bottom style="thin">
          <color indexed="10"/>
        </bottom>
      </border>
    </dxf>
    <dxf>
      <font>
        <condense val="0"/>
        <extend val="0"/>
        <color indexed="10"/>
      </font>
      <border>
        <left style="thin">
          <color indexed="10"/>
        </left>
        <right style="thin">
          <color indexed="10"/>
        </right>
        <top style="thin">
          <color indexed="10"/>
        </top>
        <bottom style="thin">
          <color indexed="10"/>
        </bottom>
      </border>
    </dxf>
    <dxf>
      <font>
        <condense val="0"/>
        <extend val="0"/>
        <color indexed="10"/>
      </font>
      <border>
        <left style="thin">
          <color indexed="10"/>
        </left>
        <right/>
        <top style="thin">
          <color indexed="10"/>
        </top>
        <bottom style="thin">
          <color indexed="10"/>
        </bottom>
      </border>
    </dxf>
    <dxf>
      <font>
        <condense val="0"/>
        <extend val="0"/>
        <color indexed="10"/>
      </font>
      <border>
        <left style="thin">
          <color indexed="10"/>
        </left>
        <right style="thin">
          <color indexed="10"/>
        </right>
        <top style="thin">
          <color indexed="10"/>
        </top>
        <bottom style="thin">
          <color indexed="10"/>
        </bottom>
      </border>
    </dxf>
    <dxf>
      <font>
        <condense val="0"/>
        <extend val="0"/>
        <color indexed="10"/>
      </font>
      <fill>
        <patternFill patternType="solid">
          <bgColor indexed="43"/>
        </patternFill>
      </fill>
      <border>
        <left style="thin">
          <color indexed="10"/>
        </left>
        <right/>
        <top style="thin">
          <color indexed="10"/>
        </top>
        <bottom style="thin">
          <color indexed="10"/>
        </bottom>
      </border>
    </dxf>
    <dxf>
      <font>
        <condense val="0"/>
        <extend val="0"/>
        <color indexed="10"/>
      </font>
      <border>
        <left/>
        <right style="thin">
          <color indexed="10"/>
        </right>
        <top style="thin">
          <color indexed="10"/>
        </top>
        <bottom style="thin">
          <color indexed="10"/>
        </bottom>
      </border>
    </dxf>
    <dxf>
      <font>
        <condense val="0"/>
        <extend val="0"/>
        <color indexed="10"/>
      </font>
      <border>
        <left/>
        <right style="thin">
          <color indexed="10"/>
        </right>
        <top style="thin">
          <color indexed="10"/>
        </top>
        <bottom style="thin">
          <color indexed="10"/>
        </bottom>
      </border>
    </dxf>
    <dxf>
      <font>
        <condense val="0"/>
        <extend val="0"/>
        <color indexed="10"/>
      </font>
      <border>
        <left style="thin">
          <color indexed="10"/>
        </left>
        <right style="thin">
          <color indexed="10"/>
        </right>
        <top style="thin">
          <color indexed="10"/>
        </top>
        <bottom style="thin">
          <color indexed="10"/>
        </bottom>
      </border>
    </dxf>
    <dxf>
      <font>
        <condense val="0"/>
        <extend val="0"/>
        <color indexed="10"/>
      </font>
      <border>
        <left style="thin">
          <color indexed="10"/>
        </left>
        <right/>
        <top style="thin">
          <color indexed="10"/>
        </top>
        <bottom style="thin">
          <color indexed="10"/>
        </bottom>
      </border>
    </dxf>
    <dxf>
      <font>
        <condense val="0"/>
        <extend val="0"/>
        <color indexed="10"/>
      </font>
      <border>
        <left style="thin">
          <color indexed="10"/>
        </left>
        <right style="thin">
          <color indexed="10"/>
        </right>
        <top style="thin">
          <color indexed="10"/>
        </top>
        <bottom style="thin">
          <color indexed="10"/>
        </bottom>
      </border>
    </dxf>
  </dxfs>
  <tableStyles count="0" defaultTableStyle="TableStyleMedium9" defaultPivotStyle="PivotStyleLight16"/>
  <colors>
    <mruColors>
      <color rgb="FF7BCBFD"/>
      <color rgb="FFFFCDE8"/>
      <color rgb="FFFFF2A3"/>
      <color rgb="FFD0EDA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021329645932656E-2"/>
          <c:y val="6.0897697986574559E-2"/>
          <c:w val="0.89787513882294767"/>
          <c:h val="0.88782433380427106"/>
        </c:manualLayout>
      </c:layout>
      <c:scatterChart>
        <c:scatterStyle val="lineMarker"/>
        <c:varyColors val="0"/>
        <c:ser>
          <c:idx val="0"/>
          <c:order val="0"/>
          <c:tx>
            <c:strRef>
              <c:f>Données!$B$4</c:f>
              <c:strCache>
                <c:ptCount val="1"/>
                <c:pt idx="0">
                  <c:v>Terrain aménagé</c:v>
                </c:pt>
              </c:strCache>
            </c:strRef>
          </c:tx>
          <c:spPr>
            <a:ln w="38100">
              <a:pattFill prst="pct25">
                <a:fgClr>
                  <a:srgbClr val="008000"/>
                </a:fgClr>
                <a:bgClr>
                  <a:srgbClr val="FFFFFF"/>
                </a:bgClr>
              </a:pattFill>
              <a:prstDash val="solid"/>
            </a:ln>
          </c:spPr>
          <c:marker>
            <c:symbol val="none"/>
          </c:marker>
          <c:dLbls>
            <c:dLbl>
              <c:idx val="9"/>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275-430D-842B-90E172FB95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Données!$C$4:$U$4</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extLst>
            <c:ext xmlns:c16="http://schemas.microsoft.com/office/drawing/2014/chart" uri="{C3380CC4-5D6E-409C-BE32-E72D297353CC}">
              <c16:uniqueId val="{00000003-3275-430D-842B-90E172FB9581}"/>
            </c:ext>
          </c:extLst>
        </c:ser>
        <c:ser>
          <c:idx val="1"/>
          <c:order val="1"/>
          <c:tx>
            <c:strRef>
              <c:f>Données!$B$7</c:f>
              <c:strCache>
                <c:ptCount val="1"/>
                <c:pt idx="0">
                  <c:v>toit de la nappe</c:v>
                </c:pt>
              </c:strCache>
            </c:strRef>
          </c:tx>
          <c:spPr>
            <a:ln w="38100">
              <a:pattFill prst="pct75">
                <a:fgClr>
                  <a:srgbClr val="33CCCC"/>
                </a:fgClr>
                <a:bgClr>
                  <a:srgbClr val="FFFFFF"/>
                </a:bgClr>
              </a:pattFill>
              <a:prstDash val="solid"/>
            </a:ln>
          </c:spPr>
          <c:marker>
            <c:symbol val="none"/>
          </c:marker>
          <c:dLbls>
            <c:dLbl>
              <c:idx val="9"/>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275-430D-842B-90E172FB95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Données!$C$7:$U$7</c:f>
              <c:numCache>
                <c:formatCode>0.00</c:formatCode>
                <c:ptCount val="1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yVal>
          <c:smooth val="0"/>
          <c:extLst>
            <c:ext xmlns:c16="http://schemas.microsoft.com/office/drawing/2014/chart" uri="{C3380CC4-5D6E-409C-BE32-E72D297353CC}">
              <c16:uniqueId val="{00000007-3275-430D-842B-90E172FB9581}"/>
            </c:ext>
          </c:extLst>
        </c:ser>
        <c:ser>
          <c:idx val="2"/>
          <c:order val="2"/>
          <c:tx>
            <c:strRef>
              <c:f>Données!$B$5</c:f>
              <c:strCache>
                <c:ptCount val="1"/>
                <c:pt idx="0">
                  <c:v>P.H.E.</c:v>
                </c:pt>
              </c:strCache>
            </c:strRef>
          </c:tx>
          <c:spPr>
            <a:ln w="25400">
              <a:solidFill>
                <a:srgbClr val="FF0000"/>
              </a:solidFill>
              <a:prstDash val="lgDashDot"/>
            </a:ln>
          </c:spPr>
          <c:marker>
            <c:symbol val="none"/>
          </c:marker>
          <c:dLbls>
            <c:dLbl>
              <c:idx val="9"/>
              <c:spPr>
                <a:solidFill>
                  <a:srgbClr val="FFFFFF"/>
                </a:solidFill>
                <a:ln w="25400">
                  <a:noFill/>
                </a:ln>
              </c:spPr>
              <c:txPr>
                <a:bodyPr/>
                <a:lstStyle/>
                <a:p>
                  <a:pPr>
                    <a:defRPr sz="875" b="0" i="0" u="none" strike="noStrike" baseline="0">
                      <a:solidFill>
                        <a:srgbClr val="000000"/>
                      </a:solidFill>
                      <a:latin typeface="Arial"/>
                      <a:ea typeface="Arial"/>
                      <a:cs typeface="Arial"/>
                    </a:defRPr>
                  </a:pPr>
                  <a:endParaRPr lang="fr-FR"/>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3275-430D-842B-90E172FB95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Données!$C$5:$U$5</c:f>
              <c:numCache>
                <c:formatCode>General</c:formatCode>
                <c:ptCount val="19"/>
                <c:pt idx="0">
                  <c:v>-0.7</c:v>
                </c:pt>
                <c:pt idx="1">
                  <c:v>-0.7</c:v>
                </c:pt>
                <c:pt idx="2">
                  <c:v>-0.7</c:v>
                </c:pt>
                <c:pt idx="3">
                  <c:v>-0.7</c:v>
                </c:pt>
                <c:pt idx="4">
                  <c:v>-0.7</c:v>
                </c:pt>
                <c:pt idx="5">
                  <c:v>-0.7</c:v>
                </c:pt>
                <c:pt idx="6">
                  <c:v>-0.7</c:v>
                </c:pt>
                <c:pt idx="7">
                  <c:v>-0.7</c:v>
                </c:pt>
                <c:pt idx="8">
                  <c:v>-0.7</c:v>
                </c:pt>
                <c:pt idx="9">
                  <c:v>-0.7</c:v>
                </c:pt>
                <c:pt idx="10">
                  <c:v>-0.7</c:v>
                </c:pt>
                <c:pt idx="11">
                  <c:v>-0.7</c:v>
                </c:pt>
                <c:pt idx="12">
                  <c:v>-0.7</c:v>
                </c:pt>
                <c:pt idx="13">
                  <c:v>-0.7</c:v>
                </c:pt>
                <c:pt idx="14">
                  <c:v>-0.7</c:v>
                </c:pt>
                <c:pt idx="15">
                  <c:v>-0.7</c:v>
                </c:pt>
                <c:pt idx="16">
                  <c:v>-0.7</c:v>
                </c:pt>
                <c:pt idx="17">
                  <c:v>-0.7</c:v>
                </c:pt>
                <c:pt idx="18">
                  <c:v>-0.7</c:v>
                </c:pt>
              </c:numCache>
            </c:numRef>
          </c:yVal>
          <c:smooth val="0"/>
          <c:extLst>
            <c:ext xmlns:c16="http://schemas.microsoft.com/office/drawing/2014/chart" uri="{C3380CC4-5D6E-409C-BE32-E72D297353CC}">
              <c16:uniqueId val="{0000000C-3275-430D-842B-90E172FB9581}"/>
            </c:ext>
          </c:extLst>
        </c:ser>
        <c:ser>
          <c:idx val="3"/>
          <c:order val="3"/>
          <c:tx>
            <c:strRef>
              <c:f>Données!$B$6</c:f>
              <c:strCache>
                <c:ptCount val="1"/>
                <c:pt idx="0">
                  <c:v>interface d'infiltration</c:v>
                </c:pt>
              </c:strCache>
            </c:strRef>
          </c:tx>
          <c:spPr>
            <a:ln w="38100">
              <a:pattFill prst="pct75">
                <a:fgClr>
                  <a:srgbClr val="FF0000"/>
                </a:fgClr>
                <a:bgClr>
                  <a:srgbClr val="FFFFFF"/>
                </a:bgClr>
              </a:pattFill>
              <a:prstDash val="solid"/>
            </a:ln>
          </c:spPr>
          <c:marker>
            <c:symbol val="none"/>
          </c:marker>
          <c:dLbls>
            <c:dLbl>
              <c:idx val="9"/>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3275-430D-842B-90E172FB95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Données!$C$6:$U$6</c:f>
              <c:numCache>
                <c:formatCode>0.00</c:formatCode>
                <c:ptCount val="19"/>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pt idx="16">
                  <c:v>-1.2</c:v>
                </c:pt>
                <c:pt idx="17">
                  <c:v>-1.2</c:v>
                </c:pt>
                <c:pt idx="18">
                  <c:v>-1.2</c:v>
                </c:pt>
              </c:numCache>
            </c:numRef>
          </c:yVal>
          <c:smooth val="0"/>
          <c:extLst>
            <c:ext xmlns:c16="http://schemas.microsoft.com/office/drawing/2014/chart" uri="{C3380CC4-5D6E-409C-BE32-E72D297353CC}">
              <c16:uniqueId val="{00000012-3275-430D-842B-90E172FB9581}"/>
            </c:ext>
          </c:extLst>
        </c:ser>
        <c:ser>
          <c:idx val="4"/>
          <c:order val="4"/>
          <c:spPr>
            <a:ln w="25400">
              <a:solidFill>
                <a:srgbClr val="000000"/>
              </a:solidFill>
              <a:prstDash val="solid"/>
            </a:ln>
          </c:spPr>
          <c:marker>
            <c:symbol val="none"/>
          </c:marker>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Données!$C$18:$U$18</c:f>
              <c:numCache>
                <c:formatCode>0.00</c:formatCode>
                <c:ptCount val="19"/>
                <c:pt idx="0">
                  <c:v>0</c:v>
                </c:pt>
                <c:pt idx="1">
                  <c:v>0</c:v>
                </c:pt>
                <c:pt idx="2">
                  <c:v>0</c:v>
                </c:pt>
                <c:pt idx="3">
                  <c:v>0</c:v>
                </c:pt>
                <c:pt idx="4">
                  <c:v>0</c:v>
                </c:pt>
                <c:pt idx="5">
                  <c:v>0</c:v>
                </c:pt>
                <c:pt idx="6">
                  <c:v>0</c:v>
                </c:pt>
                <c:pt idx="7">
                  <c:v>0</c:v>
                </c:pt>
                <c:pt idx="8">
                  <c:v>-1.2</c:v>
                </c:pt>
                <c:pt idx="9">
                  <c:v>-1.2</c:v>
                </c:pt>
                <c:pt idx="10">
                  <c:v>-1.2</c:v>
                </c:pt>
                <c:pt idx="11">
                  <c:v>0</c:v>
                </c:pt>
                <c:pt idx="12">
                  <c:v>0</c:v>
                </c:pt>
                <c:pt idx="13">
                  <c:v>0</c:v>
                </c:pt>
                <c:pt idx="14">
                  <c:v>0</c:v>
                </c:pt>
                <c:pt idx="15">
                  <c:v>0</c:v>
                </c:pt>
                <c:pt idx="16">
                  <c:v>0</c:v>
                </c:pt>
                <c:pt idx="17">
                  <c:v>0</c:v>
                </c:pt>
                <c:pt idx="18">
                  <c:v>0</c:v>
                </c:pt>
              </c:numCache>
            </c:numRef>
          </c:yVal>
          <c:smooth val="0"/>
          <c:extLst>
            <c:ext xmlns:c16="http://schemas.microsoft.com/office/drawing/2014/chart" uri="{C3380CC4-5D6E-409C-BE32-E72D297353CC}">
              <c16:uniqueId val="{00000013-3275-430D-842B-90E172FB9581}"/>
            </c:ext>
          </c:extLst>
        </c:ser>
        <c:ser>
          <c:idx val="5"/>
          <c:order val="5"/>
          <c:spPr>
            <a:ln w="38100">
              <a:pattFill prst="pct50">
                <a:fgClr>
                  <a:srgbClr val="CCFFFF"/>
                </a:fgClr>
                <a:bgClr>
                  <a:srgbClr val="FFFFFF"/>
                </a:bgClr>
              </a:pattFill>
              <a:prstDash val="solid"/>
            </a:ln>
          </c:spPr>
          <c:marker>
            <c:symbol val="none"/>
          </c:marker>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Données!$C$8:$U$8</c:f>
              <c:numCache>
                <c:formatCode>0.00</c:formatCode>
                <c:ptCount val="19"/>
                <c:pt idx="0">
                  <c:v>-3.1</c:v>
                </c:pt>
                <c:pt idx="1">
                  <c:v>-3.1</c:v>
                </c:pt>
                <c:pt idx="2">
                  <c:v>-3.1</c:v>
                </c:pt>
                <c:pt idx="3">
                  <c:v>-3.1</c:v>
                </c:pt>
                <c:pt idx="4">
                  <c:v>-3.1</c:v>
                </c:pt>
                <c:pt idx="5">
                  <c:v>-3.1</c:v>
                </c:pt>
                <c:pt idx="6">
                  <c:v>-3.1</c:v>
                </c:pt>
                <c:pt idx="7">
                  <c:v>-3.1</c:v>
                </c:pt>
                <c:pt idx="8">
                  <c:v>-3.1</c:v>
                </c:pt>
                <c:pt idx="9">
                  <c:v>-3.1</c:v>
                </c:pt>
                <c:pt idx="10">
                  <c:v>-3.1</c:v>
                </c:pt>
                <c:pt idx="11">
                  <c:v>-3.1</c:v>
                </c:pt>
                <c:pt idx="12">
                  <c:v>-3.1</c:v>
                </c:pt>
                <c:pt idx="13">
                  <c:v>-3.1</c:v>
                </c:pt>
                <c:pt idx="14">
                  <c:v>-3.1</c:v>
                </c:pt>
                <c:pt idx="15">
                  <c:v>-3.1</c:v>
                </c:pt>
                <c:pt idx="16">
                  <c:v>-3.1</c:v>
                </c:pt>
                <c:pt idx="17">
                  <c:v>-3.1</c:v>
                </c:pt>
                <c:pt idx="18">
                  <c:v>-3.1</c:v>
                </c:pt>
              </c:numCache>
            </c:numRef>
          </c:yVal>
          <c:smooth val="0"/>
          <c:extLst>
            <c:ext xmlns:c16="http://schemas.microsoft.com/office/drawing/2014/chart" uri="{C3380CC4-5D6E-409C-BE32-E72D297353CC}">
              <c16:uniqueId val="{00000014-3275-430D-842B-90E172FB9581}"/>
            </c:ext>
          </c:extLst>
        </c:ser>
        <c:ser>
          <c:idx val="6"/>
          <c:order val="6"/>
          <c:tx>
            <c:strRef>
              <c:f>Données!$B$9</c:f>
              <c:strCache>
                <c:ptCount val="1"/>
                <c:pt idx="0">
                  <c:v>1,80</c:v>
                </c:pt>
              </c:strCache>
            </c:strRef>
          </c:tx>
          <c:spPr>
            <a:ln w="3175">
              <a:solidFill>
                <a:srgbClr val="000000"/>
              </a:solidFill>
              <a:prstDash val="lgDashDot"/>
            </a:ln>
          </c:spPr>
          <c:marker>
            <c:symbol val="circle"/>
            <c:size val="4"/>
            <c:spPr>
              <a:solidFill>
                <a:srgbClr val="000000"/>
              </a:solidFill>
              <a:ln>
                <a:solidFill>
                  <a:srgbClr val="000000"/>
                </a:solidFill>
                <a:prstDash val="solid"/>
              </a:ln>
            </c:spPr>
          </c:marker>
          <c:dLbls>
            <c:dLbl>
              <c:idx val="5"/>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fr-FR"/>
                </a:p>
              </c:txPr>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3275-430D-842B-90E172FB9581}"/>
                </c:ext>
              </c:extLst>
            </c:dLbl>
            <c:dLbl>
              <c:idx val="8"/>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fr-FR"/>
                </a:p>
              </c:txPr>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3275-430D-842B-90E172FB95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Données!$C$9:$U$9</c:f>
              <c:numCache>
                <c:formatCode>0.00</c:formatCode>
                <c:ptCount val="19"/>
                <c:pt idx="4">
                  <c:v>-1.2</c:v>
                </c:pt>
                <c:pt idx="5">
                  <c:v>-3</c:v>
                </c:pt>
              </c:numCache>
            </c:numRef>
          </c:yVal>
          <c:smooth val="0"/>
          <c:extLst>
            <c:ext xmlns:c16="http://schemas.microsoft.com/office/drawing/2014/chart" uri="{C3380CC4-5D6E-409C-BE32-E72D297353CC}">
              <c16:uniqueId val="{00000018-3275-430D-842B-90E172FB9581}"/>
            </c:ext>
          </c:extLst>
        </c:ser>
        <c:ser>
          <c:idx val="7"/>
          <c:order val="7"/>
          <c:tx>
            <c:strRef>
              <c:f>Données!$B$10</c:f>
              <c:strCache>
                <c:ptCount val="1"/>
                <c:pt idx="0">
                  <c:v>Hs</c:v>
                </c:pt>
              </c:strCache>
            </c:strRef>
          </c:tx>
          <c:spPr>
            <a:ln w="3175">
              <a:solidFill>
                <a:srgbClr val="000000"/>
              </a:solidFill>
              <a:prstDash val="lgDashDot"/>
            </a:ln>
          </c:spPr>
          <c:marker>
            <c:symbol val="circle"/>
            <c:size val="4"/>
            <c:spPr>
              <a:solidFill>
                <a:srgbClr val="000000"/>
              </a:solidFill>
              <a:ln>
                <a:solidFill>
                  <a:srgbClr val="000000"/>
                </a:solidFill>
                <a:prstDash val="solid"/>
              </a:ln>
            </c:spPr>
          </c:marker>
          <c:dLbls>
            <c:dLbl>
              <c:idx val="5"/>
              <c:delete val="1"/>
              <c:extLst>
                <c:ext xmlns:c15="http://schemas.microsoft.com/office/drawing/2012/chart" uri="{CE6537A1-D6FC-4f65-9D91-7224C49458BB}"/>
                <c:ext xmlns:c16="http://schemas.microsoft.com/office/drawing/2014/chart" uri="{C3380CC4-5D6E-409C-BE32-E72D297353CC}">
                  <c16:uniqueId val="{00000019-3275-430D-842B-90E172FB9581}"/>
                </c:ext>
              </c:extLst>
            </c:dLbl>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Données!$C$10:$U$10</c:f>
              <c:numCache>
                <c:formatCode>0.00</c:formatCode>
                <c:ptCount val="19"/>
                <c:pt idx="4">
                  <c:v>-0.7</c:v>
                </c:pt>
                <c:pt idx="5">
                  <c:v>-1.2</c:v>
                </c:pt>
              </c:numCache>
            </c:numRef>
          </c:yVal>
          <c:smooth val="0"/>
          <c:extLst>
            <c:ext xmlns:c16="http://schemas.microsoft.com/office/drawing/2014/chart" uri="{C3380CC4-5D6E-409C-BE32-E72D297353CC}">
              <c16:uniqueId val="{0000001A-3275-430D-842B-90E172FB9581}"/>
            </c:ext>
          </c:extLst>
        </c:ser>
        <c:ser>
          <c:idx val="8"/>
          <c:order val="8"/>
          <c:tx>
            <c:strRef>
              <c:f>Données!$B$11</c:f>
              <c:strCache>
                <c:ptCount val="1"/>
                <c:pt idx="0">
                  <c:v>Hc</c:v>
                </c:pt>
              </c:strCache>
            </c:strRef>
          </c:tx>
          <c:spPr>
            <a:ln w="3175">
              <a:solidFill>
                <a:srgbClr val="000000"/>
              </a:solidFill>
              <a:prstDash val="lgDashDot"/>
            </a:ln>
          </c:spPr>
          <c:marker>
            <c:symbol val="circle"/>
            <c:size val="4"/>
            <c:spPr>
              <a:solidFill>
                <a:srgbClr val="000000"/>
              </a:solidFill>
              <a:ln>
                <a:solidFill>
                  <a:srgbClr val="000000"/>
                </a:solidFill>
                <a:prstDash val="solid"/>
              </a:ln>
            </c:spPr>
          </c:marker>
          <c:dLbls>
            <c:dLbl>
              <c:idx val="4"/>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3275-430D-842B-90E172FB9581}"/>
                </c:ext>
              </c:extLst>
            </c:dLbl>
            <c:dLbl>
              <c:idx val="5"/>
              <c:delete val="1"/>
              <c:extLst>
                <c:ext xmlns:c15="http://schemas.microsoft.com/office/drawing/2012/chart" uri="{CE6537A1-D6FC-4f65-9D91-7224C49458BB}"/>
                <c:ext xmlns:c16="http://schemas.microsoft.com/office/drawing/2014/chart" uri="{C3380CC4-5D6E-409C-BE32-E72D297353CC}">
                  <c16:uniqueId val="{0000001C-3275-430D-842B-90E172FB9581}"/>
                </c:ext>
              </c:extLst>
            </c:dLbl>
            <c:dLbl>
              <c:idx val="6"/>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dLblPos val="l"/>
              <c:showLegendKey val="0"/>
              <c:showVal val="0"/>
              <c:showCatName val="0"/>
              <c:showSerName val="1"/>
              <c:showPercent val="0"/>
              <c:showBubbleSize val="0"/>
              <c:extLst>
                <c:ext xmlns:c16="http://schemas.microsoft.com/office/drawing/2014/chart" uri="{C3380CC4-5D6E-409C-BE32-E72D297353CC}">
                  <c16:uniqueId val="{0000001D-3275-430D-842B-90E172FB9581}"/>
                </c:ext>
              </c:extLst>
            </c:dLbl>
            <c:dLbl>
              <c:idx val="7"/>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fr-FR"/>
                </a:p>
              </c:txPr>
              <c:dLblPos val="l"/>
              <c:showLegendKey val="0"/>
              <c:showVal val="0"/>
              <c:showCatName val="0"/>
              <c:showSerName val="1"/>
              <c:showPercent val="0"/>
              <c:showBubbleSize val="0"/>
              <c:extLst>
                <c:ext xmlns:c16="http://schemas.microsoft.com/office/drawing/2014/chart" uri="{C3380CC4-5D6E-409C-BE32-E72D297353CC}">
                  <c16:uniqueId val="{0000001E-3275-430D-842B-90E172FB9581}"/>
                </c:ext>
              </c:extLst>
            </c:dLbl>
            <c:dLbl>
              <c:idx val="8"/>
              <c:delete val="1"/>
              <c:extLst>
                <c:ext xmlns:c15="http://schemas.microsoft.com/office/drawing/2012/chart" uri="{CE6537A1-D6FC-4f65-9D91-7224C49458BB}"/>
                <c:ext xmlns:c16="http://schemas.microsoft.com/office/drawing/2014/chart" uri="{C3380CC4-5D6E-409C-BE32-E72D297353CC}">
                  <c16:uniqueId val="{0000001F-3275-430D-842B-90E172FB958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Données!$C$11:$U$11</c:f>
              <c:numCache>
                <c:formatCode>0.00</c:formatCode>
                <c:ptCount val="19"/>
                <c:pt idx="4">
                  <c:v>0</c:v>
                </c:pt>
                <c:pt idx="5">
                  <c:v>-0.7</c:v>
                </c:pt>
              </c:numCache>
            </c:numRef>
          </c:yVal>
          <c:smooth val="0"/>
          <c:extLst>
            <c:ext xmlns:c16="http://schemas.microsoft.com/office/drawing/2014/chart" uri="{C3380CC4-5D6E-409C-BE32-E72D297353CC}">
              <c16:uniqueId val="{00000020-3275-430D-842B-90E172FB9581}"/>
            </c:ext>
          </c:extLst>
        </c:ser>
        <c:dLbls>
          <c:showLegendKey val="0"/>
          <c:showVal val="0"/>
          <c:showCatName val="0"/>
          <c:showSerName val="0"/>
          <c:showPercent val="0"/>
          <c:showBubbleSize val="0"/>
        </c:dLbls>
        <c:axId val="190258304"/>
        <c:axId val="1"/>
      </c:scatterChart>
      <c:valAx>
        <c:axId val="190258304"/>
        <c:scaling>
          <c:orientation val="minMax"/>
        </c:scaling>
        <c:delete val="1"/>
        <c:axPos val="b"/>
        <c:numFmt formatCode="0.00" sourceLinked="1"/>
        <c:majorTickMark val="out"/>
        <c:minorTickMark val="none"/>
        <c:tickLblPos val="nextTo"/>
        <c:crossAx val="1"/>
        <c:crossesAt val="0.5"/>
        <c:crossBetween val="midCat"/>
      </c:valAx>
      <c:valAx>
        <c:axId val="1"/>
        <c:scaling>
          <c:orientation val="minMax"/>
          <c:max val="0.5"/>
        </c:scaling>
        <c:delete val="0"/>
        <c:axPos val="r"/>
        <c:numFmt formatCode="0.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90258304"/>
        <c:crosses val="max"/>
        <c:crossBetween val="midCat"/>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021329645932656E-2"/>
          <c:y val="6.0897697986574559E-2"/>
          <c:w val="0.89787513882294767"/>
          <c:h val="0.88782433380427106"/>
        </c:manualLayout>
      </c:layout>
      <c:scatterChart>
        <c:scatterStyle val="lineMarker"/>
        <c:varyColors val="0"/>
        <c:ser>
          <c:idx val="0"/>
          <c:order val="0"/>
          <c:tx>
            <c:strRef>
              <c:f>Données!$B$4</c:f>
              <c:strCache>
                <c:ptCount val="1"/>
                <c:pt idx="0">
                  <c:v>Terrain aménagé</c:v>
                </c:pt>
              </c:strCache>
            </c:strRef>
          </c:tx>
          <c:spPr>
            <a:ln w="38100">
              <a:pattFill prst="pct25">
                <a:fgClr>
                  <a:srgbClr val="008000"/>
                </a:fgClr>
                <a:bgClr>
                  <a:srgbClr val="FFFFFF"/>
                </a:bgClr>
              </a:pattFill>
              <a:prstDash val="solid"/>
            </a:ln>
          </c:spPr>
          <c:marker>
            <c:symbol val="none"/>
          </c:marker>
          <c:dLbls>
            <c:dLbl>
              <c:idx val="9"/>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99BC-467B-8F60-A2A11FB748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Données!$C$4:$U$4</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extLst>
            <c:ext xmlns:c16="http://schemas.microsoft.com/office/drawing/2014/chart" uri="{C3380CC4-5D6E-409C-BE32-E72D297353CC}">
              <c16:uniqueId val="{00000003-99BC-467B-8F60-A2A11FB74828}"/>
            </c:ext>
          </c:extLst>
        </c:ser>
        <c:ser>
          <c:idx val="1"/>
          <c:order val="1"/>
          <c:tx>
            <c:strRef>
              <c:f>Données!$B$7</c:f>
              <c:strCache>
                <c:ptCount val="1"/>
                <c:pt idx="0">
                  <c:v>toit de la nappe</c:v>
                </c:pt>
              </c:strCache>
            </c:strRef>
          </c:tx>
          <c:spPr>
            <a:ln w="38100">
              <a:pattFill prst="pct75">
                <a:fgClr>
                  <a:srgbClr val="33CCCC"/>
                </a:fgClr>
                <a:bgClr>
                  <a:srgbClr val="FFFFFF"/>
                </a:bgClr>
              </a:pattFill>
              <a:prstDash val="solid"/>
            </a:ln>
          </c:spPr>
          <c:marker>
            <c:symbol val="none"/>
          </c:marker>
          <c:dLbls>
            <c:dLbl>
              <c:idx val="9"/>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9BC-467B-8F60-A2A11FB748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Données!$C$7:$U$7</c:f>
              <c:numCache>
                <c:formatCode>0.00</c:formatCode>
                <c:ptCount val="1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yVal>
          <c:smooth val="0"/>
          <c:extLst>
            <c:ext xmlns:c16="http://schemas.microsoft.com/office/drawing/2014/chart" uri="{C3380CC4-5D6E-409C-BE32-E72D297353CC}">
              <c16:uniqueId val="{00000007-99BC-467B-8F60-A2A11FB74828}"/>
            </c:ext>
          </c:extLst>
        </c:ser>
        <c:ser>
          <c:idx val="2"/>
          <c:order val="2"/>
          <c:tx>
            <c:strRef>
              <c:f>Données!$B$5</c:f>
              <c:strCache>
                <c:ptCount val="1"/>
                <c:pt idx="0">
                  <c:v>P.H.E.</c:v>
                </c:pt>
              </c:strCache>
            </c:strRef>
          </c:tx>
          <c:spPr>
            <a:ln w="25400">
              <a:solidFill>
                <a:srgbClr val="FF0000"/>
              </a:solidFill>
              <a:prstDash val="lgDashDot"/>
            </a:ln>
          </c:spPr>
          <c:marker>
            <c:symbol val="none"/>
          </c:marker>
          <c:dLbls>
            <c:dLbl>
              <c:idx val="9"/>
              <c:spPr>
                <a:solidFill>
                  <a:srgbClr val="FFFFFF"/>
                </a:solidFill>
                <a:ln w="25400">
                  <a:noFill/>
                </a:ln>
              </c:spPr>
              <c:txPr>
                <a:bodyPr/>
                <a:lstStyle/>
                <a:p>
                  <a:pPr>
                    <a:defRPr sz="875" b="0" i="0" u="none" strike="noStrike" baseline="0">
                      <a:solidFill>
                        <a:srgbClr val="000000"/>
                      </a:solidFill>
                      <a:latin typeface="Arial"/>
                      <a:ea typeface="Arial"/>
                      <a:cs typeface="Arial"/>
                    </a:defRPr>
                  </a:pPr>
                  <a:endParaRPr lang="fr-FR"/>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99BC-467B-8F60-A2A11FB748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Données!$C$5:$U$5</c:f>
              <c:numCache>
                <c:formatCode>General</c:formatCode>
                <c:ptCount val="19"/>
                <c:pt idx="0">
                  <c:v>-0.7</c:v>
                </c:pt>
                <c:pt idx="1">
                  <c:v>-0.7</c:v>
                </c:pt>
                <c:pt idx="2">
                  <c:v>-0.7</c:v>
                </c:pt>
                <c:pt idx="3">
                  <c:v>-0.7</c:v>
                </c:pt>
                <c:pt idx="4">
                  <c:v>-0.7</c:v>
                </c:pt>
                <c:pt idx="5">
                  <c:v>-0.7</c:v>
                </c:pt>
                <c:pt idx="6">
                  <c:v>-0.7</c:v>
                </c:pt>
                <c:pt idx="7">
                  <c:v>-0.7</c:v>
                </c:pt>
                <c:pt idx="8">
                  <c:v>-0.7</c:v>
                </c:pt>
                <c:pt idx="9">
                  <c:v>-0.7</c:v>
                </c:pt>
                <c:pt idx="10">
                  <c:v>-0.7</c:v>
                </c:pt>
                <c:pt idx="11">
                  <c:v>-0.7</c:v>
                </c:pt>
                <c:pt idx="12">
                  <c:v>-0.7</c:v>
                </c:pt>
                <c:pt idx="13">
                  <c:v>-0.7</c:v>
                </c:pt>
                <c:pt idx="14">
                  <c:v>-0.7</c:v>
                </c:pt>
                <c:pt idx="15">
                  <c:v>-0.7</c:v>
                </c:pt>
                <c:pt idx="16">
                  <c:v>-0.7</c:v>
                </c:pt>
                <c:pt idx="17">
                  <c:v>-0.7</c:v>
                </c:pt>
                <c:pt idx="18">
                  <c:v>-0.7</c:v>
                </c:pt>
              </c:numCache>
            </c:numRef>
          </c:yVal>
          <c:smooth val="0"/>
          <c:extLst>
            <c:ext xmlns:c16="http://schemas.microsoft.com/office/drawing/2014/chart" uri="{C3380CC4-5D6E-409C-BE32-E72D297353CC}">
              <c16:uniqueId val="{0000000C-99BC-467B-8F60-A2A11FB74828}"/>
            </c:ext>
          </c:extLst>
        </c:ser>
        <c:ser>
          <c:idx val="3"/>
          <c:order val="3"/>
          <c:tx>
            <c:strRef>
              <c:f>Données!$B$6</c:f>
              <c:strCache>
                <c:ptCount val="1"/>
                <c:pt idx="0">
                  <c:v>interface d'infiltration</c:v>
                </c:pt>
              </c:strCache>
            </c:strRef>
          </c:tx>
          <c:spPr>
            <a:ln w="38100">
              <a:pattFill prst="pct75">
                <a:fgClr>
                  <a:srgbClr val="FF0000"/>
                </a:fgClr>
                <a:bgClr>
                  <a:srgbClr val="FFFFFF"/>
                </a:bgClr>
              </a:pattFill>
              <a:prstDash val="solid"/>
            </a:ln>
          </c:spPr>
          <c:marker>
            <c:symbol val="none"/>
          </c:marker>
          <c:dLbls>
            <c:dLbl>
              <c:idx val="9"/>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99BC-467B-8F60-A2A11FB748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Données!$C$6:$U$6</c:f>
              <c:numCache>
                <c:formatCode>0.00</c:formatCode>
                <c:ptCount val="19"/>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pt idx="16">
                  <c:v>-1.2</c:v>
                </c:pt>
                <c:pt idx="17">
                  <c:v>-1.2</c:v>
                </c:pt>
                <c:pt idx="18">
                  <c:v>-1.2</c:v>
                </c:pt>
              </c:numCache>
            </c:numRef>
          </c:yVal>
          <c:smooth val="0"/>
          <c:extLst>
            <c:ext xmlns:c16="http://schemas.microsoft.com/office/drawing/2014/chart" uri="{C3380CC4-5D6E-409C-BE32-E72D297353CC}">
              <c16:uniqueId val="{00000012-99BC-467B-8F60-A2A11FB74828}"/>
            </c:ext>
          </c:extLst>
        </c:ser>
        <c:ser>
          <c:idx val="4"/>
          <c:order val="4"/>
          <c:spPr>
            <a:ln w="25400">
              <a:solidFill>
                <a:srgbClr val="000000"/>
              </a:solidFill>
              <a:prstDash val="solid"/>
            </a:ln>
          </c:spPr>
          <c:marker>
            <c:symbol val="none"/>
          </c:marker>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Données!$C$18:$U$18</c:f>
              <c:numCache>
                <c:formatCode>0.00</c:formatCode>
                <c:ptCount val="19"/>
                <c:pt idx="0">
                  <c:v>0</c:v>
                </c:pt>
                <c:pt idx="1">
                  <c:v>0</c:v>
                </c:pt>
                <c:pt idx="2">
                  <c:v>0</c:v>
                </c:pt>
                <c:pt idx="3">
                  <c:v>0</c:v>
                </c:pt>
                <c:pt idx="4">
                  <c:v>0</c:v>
                </c:pt>
                <c:pt idx="5">
                  <c:v>0</c:v>
                </c:pt>
                <c:pt idx="6">
                  <c:v>0</c:v>
                </c:pt>
                <c:pt idx="7">
                  <c:v>0</c:v>
                </c:pt>
                <c:pt idx="8">
                  <c:v>-1.2</c:v>
                </c:pt>
                <c:pt idx="9">
                  <c:v>-1.2</c:v>
                </c:pt>
                <c:pt idx="10">
                  <c:v>-1.2</c:v>
                </c:pt>
                <c:pt idx="11">
                  <c:v>0</c:v>
                </c:pt>
                <c:pt idx="12">
                  <c:v>0</c:v>
                </c:pt>
                <c:pt idx="13">
                  <c:v>0</c:v>
                </c:pt>
                <c:pt idx="14">
                  <c:v>0</c:v>
                </c:pt>
                <c:pt idx="15">
                  <c:v>0</c:v>
                </c:pt>
                <c:pt idx="16">
                  <c:v>0</c:v>
                </c:pt>
                <c:pt idx="17">
                  <c:v>0</c:v>
                </c:pt>
                <c:pt idx="18">
                  <c:v>0</c:v>
                </c:pt>
              </c:numCache>
            </c:numRef>
          </c:yVal>
          <c:smooth val="0"/>
          <c:extLst>
            <c:ext xmlns:c16="http://schemas.microsoft.com/office/drawing/2014/chart" uri="{C3380CC4-5D6E-409C-BE32-E72D297353CC}">
              <c16:uniqueId val="{00000013-99BC-467B-8F60-A2A11FB74828}"/>
            </c:ext>
          </c:extLst>
        </c:ser>
        <c:ser>
          <c:idx val="5"/>
          <c:order val="5"/>
          <c:spPr>
            <a:ln w="38100">
              <a:pattFill prst="pct50">
                <a:fgClr>
                  <a:srgbClr val="CCFFFF"/>
                </a:fgClr>
                <a:bgClr>
                  <a:srgbClr val="FFFFFF"/>
                </a:bgClr>
              </a:pattFill>
              <a:prstDash val="solid"/>
            </a:ln>
          </c:spPr>
          <c:marker>
            <c:symbol val="none"/>
          </c:marker>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Données!$C$8:$U$8</c:f>
              <c:numCache>
                <c:formatCode>0.00</c:formatCode>
                <c:ptCount val="19"/>
                <c:pt idx="0">
                  <c:v>-3.1</c:v>
                </c:pt>
                <c:pt idx="1">
                  <c:v>-3.1</c:v>
                </c:pt>
                <c:pt idx="2">
                  <c:v>-3.1</c:v>
                </c:pt>
                <c:pt idx="3">
                  <c:v>-3.1</c:v>
                </c:pt>
                <c:pt idx="4">
                  <c:v>-3.1</c:v>
                </c:pt>
                <c:pt idx="5">
                  <c:v>-3.1</c:v>
                </c:pt>
                <c:pt idx="6">
                  <c:v>-3.1</c:v>
                </c:pt>
                <c:pt idx="7">
                  <c:v>-3.1</c:v>
                </c:pt>
                <c:pt idx="8">
                  <c:v>-3.1</c:v>
                </c:pt>
                <c:pt idx="9">
                  <c:v>-3.1</c:v>
                </c:pt>
                <c:pt idx="10">
                  <c:v>-3.1</c:v>
                </c:pt>
                <c:pt idx="11">
                  <c:v>-3.1</c:v>
                </c:pt>
                <c:pt idx="12">
                  <c:v>-3.1</c:v>
                </c:pt>
                <c:pt idx="13">
                  <c:v>-3.1</c:v>
                </c:pt>
                <c:pt idx="14">
                  <c:v>-3.1</c:v>
                </c:pt>
                <c:pt idx="15">
                  <c:v>-3.1</c:v>
                </c:pt>
                <c:pt idx="16">
                  <c:v>-3.1</c:v>
                </c:pt>
                <c:pt idx="17">
                  <c:v>-3.1</c:v>
                </c:pt>
                <c:pt idx="18">
                  <c:v>-3.1</c:v>
                </c:pt>
              </c:numCache>
            </c:numRef>
          </c:yVal>
          <c:smooth val="0"/>
          <c:extLst>
            <c:ext xmlns:c16="http://schemas.microsoft.com/office/drawing/2014/chart" uri="{C3380CC4-5D6E-409C-BE32-E72D297353CC}">
              <c16:uniqueId val="{00000014-99BC-467B-8F60-A2A11FB74828}"/>
            </c:ext>
          </c:extLst>
        </c:ser>
        <c:ser>
          <c:idx val="6"/>
          <c:order val="6"/>
          <c:tx>
            <c:strRef>
              <c:f>Données!$B$9</c:f>
              <c:strCache>
                <c:ptCount val="1"/>
                <c:pt idx="0">
                  <c:v>1,80</c:v>
                </c:pt>
              </c:strCache>
            </c:strRef>
          </c:tx>
          <c:spPr>
            <a:ln w="3175">
              <a:solidFill>
                <a:srgbClr val="000000"/>
              </a:solidFill>
              <a:prstDash val="lgDashDot"/>
            </a:ln>
          </c:spPr>
          <c:marker>
            <c:symbol val="circle"/>
            <c:size val="4"/>
            <c:spPr>
              <a:solidFill>
                <a:srgbClr val="000000"/>
              </a:solidFill>
              <a:ln>
                <a:solidFill>
                  <a:srgbClr val="000000"/>
                </a:solidFill>
                <a:prstDash val="solid"/>
              </a:ln>
            </c:spPr>
          </c:marker>
          <c:dLbls>
            <c:dLbl>
              <c:idx val="5"/>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fr-FR"/>
                </a:p>
              </c:txPr>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99BC-467B-8F60-A2A11FB74828}"/>
                </c:ext>
              </c:extLst>
            </c:dLbl>
            <c:dLbl>
              <c:idx val="8"/>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fr-FR"/>
                </a:p>
              </c:txPr>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99BC-467B-8F60-A2A11FB748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Données!$C$9:$U$9</c:f>
              <c:numCache>
                <c:formatCode>0.00</c:formatCode>
                <c:ptCount val="19"/>
                <c:pt idx="4">
                  <c:v>-1.2</c:v>
                </c:pt>
                <c:pt idx="5">
                  <c:v>-3</c:v>
                </c:pt>
              </c:numCache>
            </c:numRef>
          </c:yVal>
          <c:smooth val="0"/>
          <c:extLst>
            <c:ext xmlns:c16="http://schemas.microsoft.com/office/drawing/2014/chart" uri="{C3380CC4-5D6E-409C-BE32-E72D297353CC}">
              <c16:uniqueId val="{00000018-99BC-467B-8F60-A2A11FB74828}"/>
            </c:ext>
          </c:extLst>
        </c:ser>
        <c:ser>
          <c:idx val="7"/>
          <c:order val="7"/>
          <c:tx>
            <c:strRef>
              <c:f>Données!$B$10</c:f>
              <c:strCache>
                <c:ptCount val="1"/>
                <c:pt idx="0">
                  <c:v>Hs</c:v>
                </c:pt>
              </c:strCache>
            </c:strRef>
          </c:tx>
          <c:spPr>
            <a:ln w="3175">
              <a:solidFill>
                <a:srgbClr val="000000"/>
              </a:solidFill>
              <a:prstDash val="lgDashDot"/>
            </a:ln>
          </c:spPr>
          <c:marker>
            <c:symbol val="circle"/>
            <c:size val="4"/>
            <c:spPr>
              <a:solidFill>
                <a:srgbClr val="000000"/>
              </a:solidFill>
              <a:ln>
                <a:solidFill>
                  <a:srgbClr val="000000"/>
                </a:solidFill>
                <a:prstDash val="solid"/>
              </a:ln>
            </c:spPr>
          </c:marker>
          <c:dLbls>
            <c:dLbl>
              <c:idx val="5"/>
              <c:delete val="1"/>
              <c:extLst>
                <c:ext xmlns:c15="http://schemas.microsoft.com/office/drawing/2012/chart" uri="{CE6537A1-D6FC-4f65-9D91-7224C49458BB}"/>
                <c:ext xmlns:c16="http://schemas.microsoft.com/office/drawing/2014/chart" uri="{C3380CC4-5D6E-409C-BE32-E72D297353CC}">
                  <c16:uniqueId val="{00000019-99BC-467B-8F60-A2A11FB74828}"/>
                </c:ext>
              </c:extLst>
            </c:dLbl>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Données!$C$10:$U$10</c:f>
              <c:numCache>
                <c:formatCode>0.00</c:formatCode>
                <c:ptCount val="19"/>
                <c:pt idx="4">
                  <c:v>-0.7</c:v>
                </c:pt>
                <c:pt idx="5">
                  <c:v>-1.2</c:v>
                </c:pt>
              </c:numCache>
            </c:numRef>
          </c:yVal>
          <c:smooth val="0"/>
          <c:extLst>
            <c:ext xmlns:c16="http://schemas.microsoft.com/office/drawing/2014/chart" uri="{C3380CC4-5D6E-409C-BE32-E72D297353CC}">
              <c16:uniqueId val="{0000001A-99BC-467B-8F60-A2A11FB74828}"/>
            </c:ext>
          </c:extLst>
        </c:ser>
        <c:ser>
          <c:idx val="8"/>
          <c:order val="8"/>
          <c:tx>
            <c:strRef>
              <c:f>Données!$B$11</c:f>
              <c:strCache>
                <c:ptCount val="1"/>
                <c:pt idx="0">
                  <c:v>Hc</c:v>
                </c:pt>
              </c:strCache>
            </c:strRef>
          </c:tx>
          <c:spPr>
            <a:ln w="3175">
              <a:solidFill>
                <a:srgbClr val="000000"/>
              </a:solidFill>
              <a:prstDash val="lgDashDot"/>
            </a:ln>
          </c:spPr>
          <c:marker>
            <c:symbol val="circle"/>
            <c:size val="4"/>
            <c:spPr>
              <a:solidFill>
                <a:srgbClr val="000000"/>
              </a:solidFill>
              <a:ln>
                <a:solidFill>
                  <a:srgbClr val="000000"/>
                </a:solidFill>
                <a:prstDash val="solid"/>
              </a:ln>
            </c:spPr>
          </c:marker>
          <c:dLbls>
            <c:dLbl>
              <c:idx val="4"/>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99BC-467B-8F60-A2A11FB74828}"/>
                </c:ext>
              </c:extLst>
            </c:dLbl>
            <c:dLbl>
              <c:idx val="5"/>
              <c:delete val="1"/>
              <c:extLst>
                <c:ext xmlns:c15="http://schemas.microsoft.com/office/drawing/2012/chart" uri="{CE6537A1-D6FC-4f65-9D91-7224C49458BB}"/>
                <c:ext xmlns:c16="http://schemas.microsoft.com/office/drawing/2014/chart" uri="{C3380CC4-5D6E-409C-BE32-E72D297353CC}">
                  <c16:uniqueId val="{0000001C-99BC-467B-8F60-A2A11FB74828}"/>
                </c:ext>
              </c:extLst>
            </c:dLbl>
            <c:dLbl>
              <c:idx val="6"/>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dLblPos val="l"/>
              <c:showLegendKey val="0"/>
              <c:showVal val="0"/>
              <c:showCatName val="0"/>
              <c:showSerName val="1"/>
              <c:showPercent val="0"/>
              <c:showBubbleSize val="0"/>
              <c:extLst>
                <c:ext xmlns:c16="http://schemas.microsoft.com/office/drawing/2014/chart" uri="{C3380CC4-5D6E-409C-BE32-E72D297353CC}">
                  <c16:uniqueId val="{0000001D-99BC-467B-8F60-A2A11FB74828}"/>
                </c:ext>
              </c:extLst>
            </c:dLbl>
            <c:dLbl>
              <c:idx val="7"/>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fr-FR"/>
                </a:p>
              </c:txPr>
              <c:dLblPos val="l"/>
              <c:showLegendKey val="0"/>
              <c:showVal val="0"/>
              <c:showCatName val="0"/>
              <c:showSerName val="1"/>
              <c:showPercent val="0"/>
              <c:showBubbleSize val="0"/>
              <c:extLst>
                <c:ext xmlns:c16="http://schemas.microsoft.com/office/drawing/2014/chart" uri="{C3380CC4-5D6E-409C-BE32-E72D297353CC}">
                  <c16:uniqueId val="{0000001E-99BC-467B-8F60-A2A11FB74828}"/>
                </c:ext>
              </c:extLst>
            </c:dLbl>
            <c:dLbl>
              <c:idx val="8"/>
              <c:delete val="1"/>
              <c:extLst>
                <c:ext xmlns:c15="http://schemas.microsoft.com/office/drawing/2012/chart" uri="{CE6537A1-D6FC-4f65-9D91-7224C49458BB}"/>
                <c:ext xmlns:c16="http://schemas.microsoft.com/office/drawing/2014/chart" uri="{C3380CC4-5D6E-409C-BE32-E72D297353CC}">
                  <c16:uniqueId val="{0000001F-99BC-467B-8F60-A2A11FB7482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Données!$C$2:$U$2</c:f>
              <c:numCache>
                <c:formatCode>0.00</c:formatCode>
                <c:ptCount val="19"/>
                <c:pt idx="0">
                  <c:v>0</c:v>
                </c:pt>
                <c:pt idx="1">
                  <c:v>1</c:v>
                </c:pt>
                <c:pt idx="2">
                  <c:v>1</c:v>
                </c:pt>
                <c:pt idx="3">
                  <c:v>2</c:v>
                </c:pt>
                <c:pt idx="4">
                  <c:v>3</c:v>
                </c:pt>
                <c:pt idx="5">
                  <c:v>3</c:v>
                </c:pt>
                <c:pt idx="6">
                  <c:v>4</c:v>
                </c:pt>
                <c:pt idx="7">
                  <c:v>4.5</c:v>
                </c:pt>
                <c:pt idx="8">
                  <c:v>4.5</c:v>
                </c:pt>
                <c:pt idx="9">
                  <c:v>6</c:v>
                </c:pt>
                <c:pt idx="10">
                  <c:v>7.5</c:v>
                </c:pt>
                <c:pt idx="11">
                  <c:v>7.5</c:v>
                </c:pt>
                <c:pt idx="12">
                  <c:v>8</c:v>
                </c:pt>
                <c:pt idx="13">
                  <c:v>9</c:v>
                </c:pt>
                <c:pt idx="14">
                  <c:v>9</c:v>
                </c:pt>
                <c:pt idx="15">
                  <c:v>10</c:v>
                </c:pt>
                <c:pt idx="16">
                  <c:v>11</c:v>
                </c:pt>
                <c:pt idx="17">
                  <c:v>11</c:v>
                </c:pt>
                <c:pt idx="18">
                  <c:v>12</c:v>
                </c:pt>
              </c:numCache>
            </c:numRef>
          </c:xVal>
          <c:yVal>
            <c:numRef>
              <c:f>Données!$C$11:$U$11</c:f>
              <c:numCache>
                <c:formatCode>0.00</c:formatCode>
                <c:ptCount val="19"/>
                <c:pt idx="4">
                  <c:v>0</c:v>
                </c:pt>
                <c:pt idx="5">
                  <c:v>-0.7</c:v>
                </c:pt>
              </c:numCache>
            </c:numRef>
          </c:yVal>
          <c:smooth val="0"/>
          <c:extLst>
            <c:ext xmlns:c16="http://schemas.microsoft.com/office/drawing/2014/chart" uri="{C3380CC4-5D6E-409C-BE32-E72D297353CC}">
              <c16:uniqueId val="{00000020-99BC-467B-8F60-A2A11FB74828}"/>
            </c:ext>
          </c:extLst>
        </c:ser>
        <c:dLbls>
          <c:showLegendKey val="0"/>
          <c:showVal val="0"/>
          <c:showCatName val="0"/>
          <c:showSerName val="0"/>
          <c:showPercent val="0"/>
          <c:showBubbleSize val="0"/>
        </c:dLbls>
        <c:axId val="190476928"/>
        <c:axId val="1"/>
      </c:scatterChart>
      <c:valAx>
        <c:axId val="190476928"/>
        <c:scaling>
          <c:orientation val="minMax"/>
        </c:scaling>
        <c:delete val="1"/>
        <c:axPos val="b"/>
        <c:numFmt formatCode="0.00" sourceLinked="1"/>
        <c:majorTickMark val="out"/>
        <c:minorTickMark val="none"/>
        <c:tickLblPos val="nextTo"/>
        <c:crossAx val="1"/>
        <c:crossesAt val="0.5"/>
        <c:crossBetween val="midCat"/>
      </c:valAx>
      <c:valAx>
        <c:axId val="1"/>
        <c:scaling>
          <c:orientation val="minMax"/>
          <c:max val="0.5"/>
        </c:scaling>
        <c:delete val="0"/>
        <c:axPos val="r"/>
        <c:numFmt formatCode="0.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90476928"/>
        <c:crosses val="max"/>
        <c:crossBetween val="midCat"/>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verticalDpi="4"/>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xml"/><Relationship Id="rId1" Type="http://schemas.openxmlformats.org/officeDocument/2006/relationships/image" Target="../media/image3.jpe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chart" Target="../charts/chart2.xml"/><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304800</xdr:colOff>
      <xdr:row>24</xdr:row>
      <xdr:rowOff>142875</xdr:rowOff>
    </xdr:to>
    <xdr:pic>
      <xdr:nvPicPr>
        <xdr:cNvPr id="12293" name="Picture 1" descr="verifier-vert-icone-6736-32">
          <a:extLst>
            <a:ext uri="{FF2B5EF4-FFF2-40B4-BE49-F238E27FC236}">
              <a16:creationId xmlns:a16="http://schemas.microsoft.com/office/drawing/2014/main" id="{00000000-0008-0000-0000-00000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3886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304800</xdr:colOff>
      <xdr:row>21</xdr:row>
      <xdr:rowOff>142875</xdr:rowOff>
    </xdr:to>
    <xdr:pic>
      <xdr:nvPicPr>
        <xdr:cNvPr id="12294" name="Picture 2" descr="pencil">
          <a:extLst>
            <a:ext uri="{FF2B5EF4-FFF2-40B4-BE49-F238E27FC236}">
              <a16:creationId xmlns:a16="http://schemas.microsoft.com/office/drawing/2014/main" id="{00000000-0008-0000-0000-000006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 y="3400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171450</xdr:rowOff>
    </xdr:from>
    <xdr:to>
      <xdr:col>11</xdr:col>
      <xdr:colOff>0</xdr:colOff>
      <xdr:row>6</xdr:row>
      <xdr:rowOff>0</xdr:rowOff>
    </xdr:to>
    <xdr:pic>
      <xdr:nvPicPr>
        <xdr:cNvPr id="6405" name="Picture 2" descr="LACUB-RVB200">
          <a:extLst>
            <a:ext uri="{FF2B5EF4-FFF2-40B4-BE49-F238E27FC236}">
              <a16:creationId xmlns:a16="http://schemas.microsoft.com/office/drawing/2014/main" id="{00000000-0008-0000-0100-00000519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6150" y="371475"/>
          <a:ext cx="1323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54</xdr:row>
      <xdr:rowOff>0</xdr:rowOff>
    </xdr:from>
    <xdr:to>
      <xdr:col>2</xdr:col>
      <xdr:colOff>0</xdr:colOff>
      <xdr:row>66</xdr:row>
      <xdr:rowOff>0</xdr:rowOff>
    </xdr:to>
    <xdr:graphicFrame macro="">
      <xdr:nvGraphicFramePr>
        <xdr:cNvPr id="6406" name="Chart 58">
          <a:extLst>
            <a:ext uri="{FF2B5EF4-FFF2-40B4-BE49-F238E27FC236}">
              <a16:creationId xmlns:a16="http://schemas.microsoft.com/office/drawing/2014/main" id="{00000000-0008-0000-0100-000006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495300</xdr:colOff>
      <xdr:row>25</xdr:row>
      <xdr:rowOff>0</xdr:rowOff>
    </xdr:from>
    <xdr:to>
      <xdr:col>5</xdr:col>
      <xdr:colOff>266700</xdr:colOff>
      <xdr:row>27</xdr:row>
      <xdr:rowOff>0</xdr:rowOff>
    </xdr:to>
    <xdr:pic>
      <xdr:nvPicPr>
        <xdr:cNvPr id="6407" name="Picture 79" descr="calculator">
          <a:extLst>
            <a:ext uri="{FF2B5EF4-FFF2-40B4-BE49-F238E27FC236}">
              <a16:creationId xmlns:a16="http://schemas.microsoft.com/office/drawing/2014/main" id="{00000000-0008-0000-0100-0000071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53050" y="5238750"/>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809625</xdr:colOff>
      <xdr:row>5</xdr:row>
      <xdr:rowOff>95250</xdr:rowOff>
    </xdr:from>
    <xdr:to>
      <xdr:col>1</xdr:col>
      <xdr:colOff>0</xdr:colOff>
      <xdr:row>7</xdr:row>
      <xdr:rowOff>0</xdr:rowOff>
    </xdr:to>
    <xdr:pic>
      <xdr:nvPicPr>
        <xdr:cNvPr id="6408" name="Picture 186" descr="pencil">
          <a:extLst>
            <a:ext uri="{FF2B5EF4-FFF2-40B4-BE49-F238E27FC236}">
              <a16:creationId xmlns:a16="http://schemas.microsoft.com/office/drawing/2014/main" id="{00000000-0008-0000-0100-000008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9625" y="10953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276225</xdr:colOff>
      <xdr:row>13</xdr:row>
      <xdr:rowOff>95250</xdr:rowOff>
    </xdr:from>
    <xdr:to>
      <xdr:col>6</xdr:col>
      <xdr:colOff>304800</xdr:colOff>
      <xdr:row>14</xdr:row>
      <xdr:rowOff>200025</xdr:rowOff>
    </xdr:to>
    <xdr:pic>
      <xdr:nvPicPr>
        <xdr:cNvPr id="6409" name="Picture 187" descr="pencil">
          <a:extLst>
            <a:ext uri="{FF2B5EF4-FFF2-40B4-BE49-F238E27FC236}">
              <a16:creationId xmlns:a16="http://schemas.microsoft.com/office/drawing/2014/main" id="{00000000-0008-0000-0100-000009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15000" y="2695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276225</xdr:colOff>
      <xdr:row>15</xdr:row>
      <xdr:rowOff>95250</xdr:rowOff>
    </xdr:from>
    <xdr:to>
      <xdr:col>6</xdr:col>
      <xdr:colOff>304800</xdr:colOff>
      <xdr:row>17</xdr:row>
      <xdr:rowOff>0</xdr:rowOff>
    </xdr:to>
    <xdr:pic>
      <xdr:nvPicPr>
        <xdr:cNvPr id="6410" name="Picture 190" descr="pencil">
          <a:extLst>
            <a:ext uri="{FF2B5EF4-FFF2-40B4-BE49-F238E27FC236}">
              <a16:creationId xmlns:a16="http://schemas.microsoft.com/office/drawing/2014/main" id="{00000000-0008-0000-0100-00000A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15000" y="33337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276225</xdr:colOff>
      <xdr:row>17</xdr:row>
      <xdr:rowOff>95250</xdr:rowOff>
    </xdr:from>
    <xdr:to>
      <xdr:col>6</xdr:col>
      <xdr:colOff>304800</xdr:colOff>
      <xdr:row>19</xdr:row>
      <xdr:rowOff>0</xdr:rowOff>
    </xdr:to>
    <xdr:pic>
      <xdr:nvPicPr>
        <xdr:cNvPr id="6411" name="Picture 191" descr="pencil">
          <a:extLst>
            <a:ext uri="{FF2B5EF4-FFF2-40B4-BE49-F238E27FC236}">
              <a16:creationId xmlns:a16="http://schemas.microsoft.com/office/drawing/2014/main" id="{00000000-0008-0000-0100-00000B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15000" y="3733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276225</xdr:colOff>
      <xdr:row>25</xdr:row>
      <xdr:rowOff>95250</xdr:rowOff>
    </xdr:from>
    <xdr:to>
      <xdr:col>9</xdr:col>
      <xdr:colOff>161925</xdr:colOff>
      <xdr:row>27</xdr:row>
      <xdr:rowOff>0</xdr:rowOff>
    </xdr:to>
    <xdr:pic>
      <xdr:nvPicPr>
        <xdr:cNvPr id="6412" name="Picture 192" descr="pencil">
          <a:extLst>
            <a:ext uri="{FF2B5EF4-FFF2-40B4-BE49-F238E27FC236}">
              <a16:creationId xmlns:a16="http://schemas.microsoft.com/office/drawing/2014/main" id="{00000000-0008-0000-0100-00000C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53275" y="53340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276225</xdr:colOff>
      <xdr:row>27</xdr:row>
      <xdr:rowOff>95250</xdr:rowOff>
    </xdr:from>
    <xdr:to>
      <xdr:col>9</xdr:col>
      <xdr:colOff>161925</xdr:colOff>
      <xdr:row>29</xdr:row>
      <xdr:rowOff>0</xdr:rowOff>
    </xdr:to>
    <xdr:pic>
      <xdr:nvPicPr>
        <xdr:cNvPr id="6413" name="Picture 193" descr="pencil">
          <a:extLst>
            <a:ext uri="{FF2B5EF4-FFF2-40B4-BE49-F238E27FC236}">
              <a16:creationId xmlns:a16="http://schemas.microsoft.com/office/drawing/2014/main" id="{00000000-0008-0000-0100-00000D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53275" y="5734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809625</xdr:colOff>
      <xdr:row>35</xdr:row>
      <xdr:rowOff>95250</xdr:rowOff>
    </xdr:from>
    <xdr:to>
      <xdr:col>3</xdr:col>
      <xdr:colOff>304800</xdr:colOff>
      <xdr:row>37</xdr:row>
      <xdr:rowOff>0</xdr:rowOff>
    </xdr:to>
    <xdr:pic>
      <xdr:nvPicPr>
        <xdr:cNvPr id="6414" name="Picture 195" descr="pencil">
          <a:extLst>
            <a:ext uri="{FF2B5EF4-FFF2-40B4-BE49-F238E27FC236}">
              <a16:creationId xmlns:a16="http://schemas.microsoft.com/office/drawing/2014/main" id="{00000000-0008-0000-0100-00000E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76725" y="73342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276225</xdr:colOff>
      <xdr:row>39</xdr:row>
      <xdr:rowOff>95250</xdr:rowOff>
    </xdr:from>
    <xdr:to>
      <xdr:col>9</xdr:col>
      <xdr:colOff>161925</xdr:colOff>
      <xdr:row>41</xdr:row>
      <xdr:rowOff>0</xdr:rowOff>
    </xdr:to>
    <xdr:pic>
      <xdr:nvPicPr>
        <xdr:cNvPr id="6415" name="Picture 196" descr="pencil">
          <a:extLst>
            <a:ext uri="{FF2B5EF4-FFF2-40B4-BE49-F238E27FC236}">
              <a16:creationId xmlns:a16="http://schemas.microsoft.com/office/drawing/2014/main" id="{00000000-0008-0000-0100-00000F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53275" y="81343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809625</xdr:colOff>
      <xdr:row>54</xdr:row>
      <xdr:rowOff>95250</xdr:rowOff>
    </xdr:from>
    <xdr:to>
      <xdr:col>3</xdr:col>
      <xdr:colOff>304800</xdr:colOff>
      <xdr:row>56</xdr:row>
      <xdr:rowOff>0</xdr:rowOff>
    </xdr:to>
    <xdr:pic>
      <xdr:nvPicPr>
        <xdr:cNvPr id="6416" name="Picture 197" descr="pencil">
          <a:extLst>
            <a:ext uri="{FF2B5EF4-FFF2-40B4-BE49-F238E27FC236}">
              <a16:creationId xmlns:a16="http://schemas.microsoft.com/office/drawing/2014/main" id="{00000000-0008-0000-0100-000010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76725" y="111347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809625</xdr:colOff>
      <xdr:row>59</xdr:row>
      <xdr:rowOff>95250</xdr:rowOff>
    </xdr:from>
    <xdr:to>
      <xdr:col>3</xdr:col>
      <xdr:colOff>304800</xdr:colOff>
      <xdr:row>61</xdr:row>
      <xdr:rowOff>0</xdr:rowOff>
    </xdr:to>
    <xdr:pic>
      <xdr:nvPicPr>
        <xdr:cNvPr id="6417" name="Picture 198" descr="pencil">
          <a:extLst>
            <a:ext uri="{FF2B5EF4-FFF2-40B4-BE49-F238E27FC236}">
              <a16:creationId xmlns:a16="http://schemas.microsoft.com/office/drawing/2014/main" id="{00000000-0008-0000-0100-000011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76725" y="121348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809625</xdr:colOff>
      <xdr:row>64</xdr:row>
      <xdr:rowOff>95250</xdr:rowOff>
    </xdr:from>
    <xdr:to>
      <xdr:col>3</xdr:col>
      <xdr:colOff>304800</xdr:colOff>
      <xdr:row>66</xdr:row>
      <xdr:rowOff>0</xdr:rowOff>
    </xdr:to>
    <xdr:pic>
      <xdr:nvPicPr>
        <xdr:cNvPr id="6418" name="Picture 199" descr="pencil">
          <a:extLst>
            <a:ext uri="{FF2B5EF4-FFF2-40B4-BE49-F238E27FC236}">
              <a16:creationId xmlns:a16="http://schemas.microsoft.com/office/drawing/2014/main" id="{00000000-0008-0000-0100-000012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76725" y="131349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54</xdr:row>
      <xdr:rowOff>0</xdr:rowOff>
    </xdr:from>
    <xdr:to>
      <xdr:col>2</xdr:col>
      <xdr:colOff>0</xdr:colOff>
      <xdr:row>66</xdr:row>
      <xdr:rowOff>0</xdr:rowOff>
    </xdr:to>
    <xdr:graphicFrame macro="">
      <xdr:nvGraphicFramePr>
        <xdr:cNvPr id="15417" name="Chart 2">
          <a:extLst>
            <a:ext uri="{FF2B5EF4-FFF2-40B4-BE49-F238E27FC236}">
              <a16:creationId xmlns:a16="http://schemas.microsoft.com/office/drawing/2014/main" id="{00000000-0008-0000-0200-000039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484094</xdr:colOff>
      <xdr:row>27</xdr:row>
      <xdr:rowOff>1</xdr:rowOff>
    </xdr:from>
    <xdr:to>
      <xdr:col>5</xdr:col>
      <xdr:colOff>255494</xdr:colOff>
      <xdr:row>29</xdr:row>
      <xdr:rowOff>0</xdr:rowOff>
    </xdr:to>
    <xdr:pic>
      <xdr:nvPicPr>
        <xdr:cNvPr id="15418" name="Picture 3" descr="calculator">
          <a:extLst>
            <a:ext uri="{FF2B5EF4-FFF2-40B4-BE49-F238E27FC236}">
              <a16:creationId xmlns:a16="http://schemas.microsoft.com/office/drawing/2014/main" id="{00000000-0008-0000-0200-00003A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7447" y="5681383"/>
          <a:ext cx="354106" cy="403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809625</xdr:colOff>
      <xdr:row>5</xdr:row>
      <xdr:rowOff>95250</xdr:rowOff>
    </xdr:from>
    <xdr:to>
      <xdr:col>1</xdr:col>
      <xdr:colOff>0</xdr:colOff>
      <xdr:row>7</xdr:row>
      <xdr:rowOff>0</xdr:rowOff>
    </xdr:to>
    <xdr:pic>
      <xdr:nvPicPr>
        <xdr:cNvPr id="15419" name="Picture 16" descr="pencil">
          <a:extLst>
            <a:ext uri="{FF2B5EF4-FFF2-40B4-BE49-F238E27FC236}">
              <a16:creationId xmlns:a16="http://schemas.microsoft.com/office/drawing/2014/main" id="{00000000-0008-0000-0200-00003B3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9625" y="10953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141755</xdr:colOff>
      <xdr:row>13</xdr:row>
      <xdr:rowOff>162485</xdr:rowOff>
    </xdr:from>
    <xdr:to>
      <xdr:col>6</xdr:col>
      <xdr:colOff>170330</xdr:colOff>
      <xdr:row>14</xdr:row>
      <xdr:rowOff>267260</xdr:rowOff>
    </xdr:to>
    <xdr:pic>
      <xdr:nvPicPr>
        <xdr:cNvPr id="15420" name="Picture 17" descr="pencil">
          <a:extLst>
            <a:ext uri="{FF2B5EF4-FFF2-40B4-BE49-F238E27FC236}">
              <a16:creationId xmlns:a16="http://schemas.microsoft.com/office/drawing/2014/main" id="{00000000-0008-0000-0200-00003C3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87814" y="2784661"/>
          <a:ext cx="308722" cy="306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141755</xdr:colOff>
      <xdr:row>15</xdr:row>
      <xdr:rowOff>61632</xdr:rowOff>
    </xdr:from>
    <xdr:to>
      <xdr:col>6</xdr:col>
      <xdr:colOff>170330</xdr:colOff>
      <xdr:row>16</xdr:row>
      <xdr:rowOff>168088</xdr:rowOff>
    </xdr:to>
    <xdr:pic>
      <xdr:nvPicPr>
        <xdr:cNvPr id="15421" name="Picture 18" descr="pencil">
          <a:extLst>
            <a:ext uri="{FF2B5EF4-FFF2-40B4-BE49-F238E27FC236}">
              <a16:creationId xmlns:a16="http://schemas.microsoft.com/office/drawing/2014/main" id="{00000000-0008-0000-0200-00003D3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87814" y="3322544"/>
          <a:ext cx="308722" cy="308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152960</xdr:colOff>
      <xdr:row>17</xdr:row>
      <xdr:rowOff>50426</xdr:rowOff>
    </xdr:from>
    <xdr:to>
      <xdr:col>6</xdr:col>
      <xdr:colOff>181535</xdr:colOff>
      <xdr:row>18</xdr:row>
      <xdr:rowOff>156882</xdr:rowOff>
    </xdr:to>
    <xdr:pic>
      <xdr:nvPicPr>
        <xdr:cNvPr id="15422" name="Picture 19" descr="pencil">
          <a:extLst>
            <a:ext uri="{FF2B5EF4-FFF2-40B4-BE49-F238E27FC236}">
              <a16:creationId xmlns:a16="http://schemas.microsoft.com/office/drawing/2014/main" id="{00000000-0008-0000-0200-00003E3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99019" y="3714750"/>
          <a:ext cx="308722" cy="308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276225</xdr:colOff>
      <xdr:row>25</xdr:row>
      <xdr:rowOff>95250</xdr:rowOff>
    </xdr:from>
    <xdr:to>
      <xdr:col>9</xdr:col>
      <xdr:colOff>161925</xdr:colOff>
      <xdr:row>27</xdr:row>
      <xdr:rowOff>0</xdr:rowOff>
    </xdr:to>
    <xdr:pic>
      <xdr:nvPicPr>
        <xdr:cNvPr id="15423" name="Picture 20" descr="pencil">
          <a:extLst>
            <a:ext uri="{FF2B5EF4-FFF2-40B4-BE49-F238E27FC236}">
              <a16:creationId xmlns:a16="http://schemas.microsoft.com/office/drawing/2014/main" id="{00000000-0008-0000-0200-00003F3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53275" y="53340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276225</xdr:colOff>
      <xdr:row>27</xdr:row>
      <xdr:rowOff>95250</xdr:rowOff>
    </xdr:from>
    <xdr:to>
      <xdr:col>9</xdr:col>
      <xdr:colOff>161925</xdr:colOff>
      <xdr:row>29</xdr:row>
      <xdr:rowOff>0</xdr:rowOff>
    </xdr:to>
    <xdr:pic>
      <xdr:nvPicPr>
        <xdr:cNvPr id="15424" name="Picture 21" descr="pencil">
          <a:extLst>
            <a:ext uri="{FF2B5EF4-FFF2-40B4-BE49-F238E27FC236}">
              <a16:creationId xmlns:a16="http://schemas.microsoft.com/office/drawing/2014/main" id="{00000000-0008-0000-0200-0000403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53275" y="5734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644899</xdr:colOff>
      <xdr:row>35</xdr:row>
      <xdr:rowOff>50426</xdr:rowOff>
    </xdr:from>
    <xdr:to>
      <xdr:col>3</xdr:col>
      <xdr:colOff>159124</xdr:colOff>
      <xdr:row>36</xdr:row>
      <xdr:rowOff>156881</xdr:rowOff>
    </xdr:to>
    <xdr:pic>
      <xdr:nvPicPr>
        <xdr:cNvPr id="15425" name="Picture 22" descr="pencil">
          <a:extLst>
            <a:ext uri="{FF2B5EF4-FFF2-40B4-BE49-F238E27FC236}">
              <a16:creationId xmlns:a16="http://schemas.microsoft.com/office/drawing/2014/main" id="{00000000-0008-0000-0200-0000413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29928" y="6942044"/>
          <a:ext cx="309843" cy="308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276225</xdr:colOff>
      <xdr:row>39</xdr:row>
      <xdr:rowOff>95250</xdr:rowOff>
    </xdr:from>
    <xdr:to>
      <xdr:col>9</xdr:col>
      <xdr:colOff>161925</xdr:colOff>
      <xdr:row>41</xdr:row>
      <xdr:rowOff>0</xdr:rowOff>
    </xdr:to>
    <xdr:pic>
      <xdr:nvPicPr>
        <xdr:cNvPr id="15426" name="Picture 23" descr="pencil">
          <a:extLst>
            <a:ext uri="{FF2B5EF4-FFF2-40B4-BE49-F238E27FC236}">
              <a16:creationId xmlns:a16="http://schemas.microsoft.com/office/drawing/2014/main" id="{00000000-0008-0000-0200-0000423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53275" y="77343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678516</xdr:colOff>
      <xdr:row>54</xdr:row>
      <xdr:rowOff>61632</xdr:rowOff>
    </xdr:from>
    <xdr:to>
      <xdr:col>3</xdr:col>
      <xdr:colOff>192741</xdr:colOff>
      <xdr:row>55</xdr:row>
      <xdr:rowOff>168087</xdr:rowOff>
    </xdr:to>
    <xdr:pic>
      <xdr:nvPicPr>
        <xdr:cNvPr id="15427" name="Picture 24" descr="pencil">
          <a:extLst>
            <a:ext uri="{FF2B5EF4-FFF2-40B4-BE49-F238E27FC236}">
              <a16:creationId xmlns:a16="http://schemas.microsoft.com/office/drawing/2014/main" id="{00000000-0008-0000-0200-0000433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63545" y="10382250"/>
          <a:ext cx="309843" cy="308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656105</xdr:colOff>
      <xdr:row>59</xdr:row>
      <xdr:rowOff>39221</xdr:rowOff>
    </xdr:from>
    <xdr:to>
      <xdr:col>3</xdr:col>
      <xdr:colOff>170330</xdr:colOff>
      <xdr:row>60</xdr:row>
      <xdr:rowOff>145677</xdr:rowOff>
    </xdr:to>
    <xdr:pic>
      <xdr:nvPicPr>
        <xdr:cNvPr id="15428" name="Picture 25" descr="pencil">
          <a:extLst>
            <a:ext uri="{FF2B5EF4-FFF2-40B4-BE49-F238E27FC236}">
              <a16:creationId xmlns:a16="http://schemas.microsoft.com/office/drawing/2014/main" id="{00000000-0008-0000-0200-0000443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41134" y="11368368"/>
          <a:ext cx="309843" cy="308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656104</xdr:colOff>
      <xdr:row>64</xdr:row>
      <xdr:rowOff>39221</xdr:rowOff>
    </xdr:from>
    <xdr:to>
      <xdr:col>3</xdr:col>
      <xdr:colOff>170329</xdr:colOff>
      <xdr:row>65</xdr:row>
      <xdr:rowOff>145677</xdr:rowOff>
    </xdr:to>
    <xdr:pic>
      <xdr:nvPicPr>
        <xdr:cNvPr id="15429" name="Picture 26" descr="pencil">
          <a:extLst>
            <a:ext uri="{FF2B5EF4-FFF2-40B4-BE49-F238E27FC236}">
              <a16:creationId xmlns:a16="http://schemas.microsoft.com/office/drawing/2014/main" id="{00000000-0008-0000-0200-0000453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41133" y="12376897"/>
          <a:ext cx="309843" cy="308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459441</xdr:colOff>
      <xdr:row>1</xdr:row>
      <xdr:rowOff>44824</xdr:rowOff>
    </xdr:from>
    <xdr:to>
      <xdr:col>11</xdr:col>
      <xdr:colOff>299332</xdr:colOff>
      <xdr:row>5</xdr:row>
      <xdr:rowOff>138685</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46530"/>
          <a:ext cx="2159508" cy="900684"/>
        </a:xfrm>
        <a:prstGeom prst="rect">
          <a:avLst/>
        </a:prstGeom>
      </xdr:spPr>
    </xdr:pic>
    <xdr:clientData/>
  </xdr:twoCellAnchor>
  <xdr:twoCellAnchor editAs="oneCell">
    <xdr:from>
      <xdr:col>4</xdr:col>
      <xdr:colOff>496981</xdr:colOff>
      <xdr:row>25</xdr:row>
      <xdr:rowOff>41462</xdr:rowOff>
    </xdr:from>
    <xdr:to>
      <xdr:col>5</xdr:col>
      <xdr:colOff>214592</xdr:colOff>
      <xdr:row>26</xdr:row>
      <xdr:rowOff>147919</xdr:rowOff>
    </xdr:to>
    <xdr:pic>
      <xdr:nvPicPr>
        <xdr:cNvPr id="17" name="Picture 21" descr="pencil">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60334" y="5319433"/>
          <a:ext cx="300317" cy="308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78441</xdr:colOff>
      <xdr:row>9</xdr:row>
      <xdr:rowOff>39781</xdr:rowOff>
    </xdr:from>
    <xdr:to>
      <xdr:col>1</xdr:col>
      <xdr:colOff>387163</xdr:colOff>
      <xdr:row>10</xdr:row>
      <xdr:rowOff>144556</xdr:rowOff>
    </xdr:to>
    <xdr:pic>
      <xdr:nvPicPr>
        <xdr:cNvPr id="18" name="Picture 17" descr="pencil">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7823" y="1855134"/>
          <a:ext cx="308722" cy="306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197784</xdr:colOff>
      <xdr:row>59</xdr:row>
      <xdr:rowOff>61632</xdr:rowOff>
    </xdr:from>
    <xdr:to>
      <xdr:col>6</xdr:col>
      <xdr:colOff>227480</xdr:colOff>
      <xdr:row>60</xdr:row>
      <xdr:rowOff>168088</xdr:rowOff>
    </xdr:to>
    <xdr:pic>
      <xdr:nvPicPr>
        <xdr:cNvPr id="22" name="Picture 25" descr="pencil">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43843" y="11390779"/>
          <a:ext cx="309843" cy="308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193300</xdr:colOff>
      <xdr:row>64</xdr:row>
      <xdr:rowOff>12326</xdr:rowOff>
    </xdr:from>
    <xdr:to>
      <xdr:col>6</xdr:col>
      <xdr:colOff>222996</xdr:colOff>
      <xdr:row>65</xdr:row>
      <xdr:rowOff>118782</xdr:rowOff>
    </xdr:to>
    <xdr:pic>
      <xdr:nvPicPr>
        <xdr:cNvPr id="23" name="Picture 25" descr="pencil">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39359" y="12350002"/>
          <a:ext cx="309843" cy="308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
  <sheetViews>
    <sheetView workbookViewId="0">
      <selection activeCell="F28" sqref="F28"/>
    </sheetView>
  </sheetViews>
  <sheetFormatPr baseColWidth="10" defaultRowHeight="12.75"/>
  <cols>
    <col min="1" max="1" width="9" bestFit="1" customWidth="1"/>
    <col min="2" max="2" width="17.85546875" bestFit="1" customWidth="1"/>
    <col min="3" max="7" width="5.140625" bestFit="1" customWidth="1"/>
    <col min="8" max="8" width="5.140625" customWidth="1"/>
    <col min="9" max="15" width="5.140625" bestFit="1" customWidth="1"/>
    <col min="16" max="16" width="5.140625" customWidth="1"/>
    <col min="17" max="17" width="5.140625" bestFit="1" customWidth="1"/>
    <col min="18" max="21" width="5.5703125" bestFit="1" customWidth="1"/>
  </cols>
  <sheetData>
    <row r="1" spans="1:21" ht="25.5">
      <c r="B1" s="5" t="s">
        <v>74</v>
      </c>
      <c r="C1" s="3">
        <f>IF(LEFT('F1a infiltration'!D55,1)="S",1,IF(LEFT('F1a infiltration'!D55,1)="B",2,IF(LEFT('F1a infiltration'!D55,1)="N",3,IF(LEFT('F1a infiltration'!D55,1)="T",4,IF(LEFT('F1a infiltration'!D55,1)="P",5,0)))))</f>
        <v>4</v>
      </c>
      <c r="D1" s="3"/>
      <c r="E1" s="3"/>
      <c r="F1" s="3"/>
      <c r="G1" s="3"/>
      <c r="H1" s="3"/>
      <c r="I1" s="3"/>
      <c r="J1" s="3"/>
      <c r="K1" s="3"/>
      <c r="L1" s="3"/>
      <c r="M1" s="3"/>
      <c r="N1" s="3"/>
      <c r="O1" s="3"/>
      <c r="P1" s="3"/>
      <c r="Q1" s="3"/>
      <c r="R1" s="3"/>
      <c r="S1" s="3"/>
      <c r="T1" s="3"/>
      <c r="U1" s="3"/>
    </row>
    <row r="2" spans="1:21">
      <c r="B2" s="2"/>
      <c r="C2" s="3">
        <v>0</v>
      </c>
      <c r="D2" s="3">
        <v>1</v>
      </c>
      <c r="E2" s="3">
        <v>1</v>
      </c>
      <c r="F2" s="3">
        <v>2</v>
      </c>
      <c r="G2" s="3">
        <v>3</v>
      </c>
      <c r="H2" s="3">
        <v>3</v>
      </c>
      <c r="I2" s="3">
        <v>4</v>
      </c>
      <c r="J2" s="3">
        <v>4.5</v>
      </c>
      <c r="K2" s="3">
        <v>4.5</v>
      </c>
      <c r="L2" s="3">
        <v>6</v>
      </c>
      <c r="M2" s="3">
        <v>7.5</v>
      </c>
      <c r="N2" s="3">
        <v>7.5</v>
      </c>
      <c r="O2" s="3">
        <v>8</v>
      </c>
      <c r="P2" s="3">
        <v>9</v>
      </c>
      <c r="Q2" s="3">
        <v>9</v>
      </c>
      <c r="R2" s="3">
        <v>10</v>
      </c>
      <c r="S2" s="3">
        <v>11</v>
      </c>
      <c r="T2" s="3">
        <v>11</v>
      </c>
      <c r="U2" s="3">
        <v>12</v>
      </c>
    </row>
    <row r="3" spans="1:21">
      <c r="B3" s="2"/>
      <c r="C3" s="3"/>
      <c r="D3" s="3"/>
      <c r="E3" s="3"/>
      <c r="F3" s="3"/>
      <c r="G3" s="3"/>
      <c r="H3" s="3"/>
      <c r="I3" s="3"/>
      <c r="J3" s="3"/>
      <c r="K3" s="3"/>
      <c r="L3" s="3"/>
      <c r="M3" s="3"/>
      <c r="N3" s="3"/>
      <c r="O3" s="3"/>
      <c r="P3" s="3"/>
      <c r="Q3" s="3"/>
      <c r="R3" s="3"/>
      <c r="S3" s="3"/>
      <c r="T3" s="3"/>
      <c r="U3" s="3"/>
    </row>
    <row r="4" spans="1:21">
      <c r="A4" s="75" t="s">
        <v>75</v>
      </c>
      <c r="B4" s="1" t="s">
        <v>67</v>
      </c>
      <c r="C4" s="3">
        <v>0</v>
      </c>
      <c r="D4" s="3">
        <v>0</v>
      </c>
      <c r="E4" s="3">
        <v>0</v>
      </c>
      <c r="F4" s="3">
        <v>0</v>
      </c>
      <c r="G4" s="3">
        <v>0</v>
      </c>
      <c r="H4" s="3">
        <v>0</v>
      </c>
      <c r="I4" s="3">
        <v>0</v>
      </c>
      <c r="J4" s="3">
        <v>0</v>
      </c>
      <c r="K4" s="3">
        <v>0</v>
      </c>
      <c r="L4" s="3">
        <v>0</v>
      </c>
      <c r="M4" s="3">
        <v>0</v>
      </c>
      <c r="N4" s="3">
        <v>0</v>
      </c>
      <c r="O4" s="3">
        <v>0</v>
      </c>
      <c r="P4" s="3">
        <v>0</v>
      </c>
      <c r="Q4" s="3">
        <v>0</v>
      </c>
      <c r="R4" s="3">
        <v>0</v>
      </c>
      <c r="S4" s="3">
        <v>0</v>
      </c>
      <c r="T4" s="3">
        <v>0</v>
      </c>
      <c r="U4" s="3">
        <v>0</v>
      </c>
    </row>
    <row r="5" spans="1:21">
      <c r="A5" s="75"/>
      <c r="B5" s="1" t="s">
        <v>57</v>
      </c>
      <c r="C5" s="4">
        <f t="shared" ref="C5:U5" si="0">-Hc</f>
        <v>-0.7</v>
      </c>
      <c r="D5" s="4">
        <f t="shared" si="0"/>
        <v>-0.7</v>
      </c>
      <c r="E5" s="4">
        <f t="shared" si="0"/>
        <v>-0.7</v>
      </c>
      <c r="F5" s="4">
        <f t="shared" si="0"/>
        <v>-0.7</v>
      </c>
      <c r="G5" s="4">
        <f t="shared" si="0"/>
        <v>-0.7</v>
      </c>
      <c r="H5" s="4">
        <f t="shared" si="0"/>
        <v>-0.7</v>
      </c>
      <c r="I5" s="4">
        <f t="shared" si="0"/>
        <v>-0.7</v>
      </c>
      <c r="J5" s="4">
        <f t="shared" si="0"/>
        <v>-0.7</v>
      </c>
      <c r="K5" s="4">
        <f t="shared" si="0"/>
        <v>-0.7</v>
      </c>
      <c r="L5" s="4">
        <f t="shared" si="0"/>
        <v>-0.7</v>
      </c>
      <c r="M5" s="4">
        <f t="shared" si="0"/>
        <v>-0.7</v>
      </c>
      <c r="N5" s="4">
        <f t="shared" si="0"/>
        <v>-0.7</v>
      </c>
      <c r="O5" s="4">
        <f t="shared" si="0"/>
        <v>-0.7</v>
      </c>
      <c r="P5" s="4">
        <f t="shared" si="0"/>
        <v>-0.7</v>
      </c>
      <c r="Q5" s="4">
        <f t="shared" si="0"/>
        <v>-0.7</v>
      </c>
      <c r="R5" s="4">
        <f t="shared" si="0"/>
        <v>-0.7</v>
      </c>
      <c r="S5" s="4">
        <f t="shared" si="0"/>
        <v>-0.7</v>
      </c>
      <c r="T5" s="4">
        <f t="shared" si="0"/>
        <v>-0.7</v>
      </c>
      <c r="U5" s="4">
        <f t="shared" si="0"/>
        <v>-0.7</v>
      </c>
    </row>
    <row r="6" spans="1:21">
      <c r="A6" s="75"/>
      <c r="B6" s="1" t="s">
        <v>69</v>
      </c>
      <c r="C6" s="3">
        <f t="shared" ref="C6:U6" si="1">C5-Hs</f>
        <v>-1.2</v>
      </c>
      <c r="D6" s="3">
        <f t="shared" si="1"/>
        <v>-1.2</v>
      </c>
      <c r="E6" s="3">
        <f t="shared" si="1"/>
        <v>-1.2</v>
      </c>
      <c r="F6" s="3">
        <f t="shared" si="1"/>
        <v>-1.2</v>
      </c>
      <c r="G6" s="3">
        <f t="shared" si="1"/>
        <v>-1.2</v>
      </c>
      <c r="H6" s="3">
        <f t="shared" si="1"/>
        <v>-1.2</v>
      </c>
      <c r="I6" s="3">
        <f t="shared" si="1"/>
        <v>-1.2</v>
      </c>
      <c r="J6" s="3">
        <f t="shared" si="1"/>
        <v>-1.2</v>
      </c>
      <c r="K6" s="3">
        <f t="shared" si="1"/>
        <v>-1.2</v>
      </c>
      <c r="L6" s="3">
        <f t="shared" si="1"/>
        <v>-1.2</v>
      </c>
      <c r="M6" s="3">
        <f t="shared" si="1"/>
        <v>-1.2</v>
      </c>
      <c r="N6" s="3">
        <f t="shared" si="1"/>
        <v>-1.2</v>
      </c>
      <c r="O6" s="3">
        <f t="shared" si="1"/>
        <v>-1.2</v>
      </c>
      <c r="P6" s="3">
        <f t="shared" si="1"/>
        <v>-1.2</v>
      </c>
      <c r="Q6" s="3">
        <f t="shared" si="1"/>
        <v>-1.2</v>
      </c>
      <c r="R6" s="3">
        <f t="shared" si="1"/>
        <v>-1.2</v>
      </c>
      <c r="S6" s="3">
        <f t="shared" si="1"/>
        <v>-1.2</v>
      </c>
      <c r="T6" s="3">
        <f t="shared" si="1"/>
        <v>-1.2</v>
      </c>
      <c r="U6" s="3">
        <f t="shared" si="1"/>
        <v>-1.2</v>
      </c>
    </row>
    <row r="7" spans="1:21">
      <c r="A7" s="75"/>
      <c r="B7" s="1" t="s">
        <v>68</v>
      </c>
      <c r="C7" s="3">
        <f t="shared" ref="C7:U7" si="2">-Pn</f>
        <v>-3</v>
      </c>
      <c r="D7" s="3">
        <f t="shared" si="2"/>
        <v>-3</v>
      </c>
      <c r="E7" s="3">
        <f t="shared" si="2"/>
        <v>-3</v>
      </c>
      <c r="F7" s="3">
        <f t="shared" si="2"/>
        <v>-3</v>
      </c>
      <c r="G7" s="3">
        <f t="shared" si="2"/>
        <v>-3</v>
      </c>
      <c r="H7" s="3">
        <f t="shared" si="2"/>
        <v>-3</v>
      </c>
      <c r="I7" s="3">
        <f t="shared" si="2"/>
        <v>-3</v>
      </c>
      <c r="J7" s="3">
        <f t="shared" si="2"/>
        <v>-3</v>
      </c>
      <c r="K7" s="3">
        <f t="shared" si="2"/>
        <v>-3</v>
      </c>
      <c r="L7" s="3">
        <f t="shared" si="2"/>
        <v>-3</v>
      </c>
      <c r="M7" s="3">
        <f t="shared" si="2"/>
        <v>-3</v>
      </c>
      <c r="N7" s="3">
        <f t="shared" si="2"/>
        <v>-3</v>
      </c>
      <c r="O7" s="3">
        <f t="shared" si="2"/>
        <v>-3</v>
      </c>
      <c r="P7" s="3">
        <f t="shared" si="2"/>
        <v>-3</v>
      </c>
      <c r="Q7" s="3">
        <f t="shared" si="2"/>
        <v>-3</v>
      </c>
      <c r="R7" s="3">
        <f t="shared" si="2"/>
        <v>-3</v>
      </c>
      <c r="S7" s="3">
        <f t="shared" si="2"/>
        <v>-3</v>
      </c>
      <c r="T7" s="3">
        <f t="shared" si="2"/>
        <v>-3</v>
      </c>
      <c r="U7" s="3">
        <f t="shared" si="2"/>
        <v>-3</v>
      </c>
    </row>
    <row r="8" spans="1:21">
      <c r="A8" s="75"/>
      <c r="B8" s="1"/>
      <c r="C8" s="3">
        <f>C7-0.1</f>
        <v>-3.1</v>
      </c>
      <c r="D8" s="3">
        <f t="shared" ref="D8:U8" si="3">D7-0.1</f>
        <v>-3.1</v>
      </c>
      <c r="E8" s="3">
        <f t="shared" si="3"/>
        <v>-3.1</v>
      </c>
      <c r="F8" s="3">
        <f t="shared" si="3"/>
        <v>-3.1</v>
      </c>
      <c r="G8" s="3">
        <f t="shared" si="3"/>
        <v>-3.1</v>
      </c>
      <c r="H8" s="3">
        <f t="shared" si="3"/>
        <v>-3.1</v>
      </c>
      <c r="I8" s="3">
        <f t="shared" si="3"/>
        <v>-3.1</v>
      </c>
      <c r="J8" s="3">
        <f t="shared" si="3"/>
        <v>-3.1</v>
      </c>
      <c r="K8" s="3">
        <f t="shared" si="3"/>
        <v>-3.1</v>
      </c>
      <c r="L8" s="3">
        <f t="shared" si="3"/>
        <v>-3.1</v>
      </c>
      <c r="M8" s="3">
        <f t="shared" si="3"/>
        <v>-3.1</v>
      </c>
      <c r="N8" s="3">
        <f t="shared" si="3"/>
        <v>-3.1</v>
      </c>
      <c r="O8" s="3">
        <f t="shared" si="3"/>
        <v>-3.1</v>
      </c>
      <c r="P8" s="3">
        <f t="shared" si="3"/>
        <v>-3.1</v>
      </c>
      <c r="Q8" s="3">
        <f t="shared" si="3"/>
        <v>-3.1</v>
      </c>
      <c r="R8" s="3">
        <f t="shared" si="3"/>
        <v>-3.1</v>
      </c>
      <c r="S8" s="3">
        <f t="shared" si="3"/>
        <v>-3.1</v>
      </c>
      <c r="T8" s="3">
        <f t="shared" si="3"/>
        <v>-3.1</v>
      </c>
      <c r="U8" s="3">
        <f t="shared" si="3"/>
        <v>-3.1</v>
      </c>
    </row>
    <row r="9" spans="1:21">
      <c r="A9" s="75"/>
      <c r="B9" s="3">
        <f>ABS(H9-G9)</f>
        <v>1.8</v>
      </c>
      <c r="C9" s="3"/>
      <c r="D9" s="3"/>
      <c r="E9" s="3"/>
      <c r="F9" s="3"/>
      <c r="G9" s="3">
        <f>G6</f>
        <v>-1.2</v>
      </c>
      <c r="H9" s="3">
        <f>H7</f>
        <v>-3</v>
      </c>
      <c r="I9" s="3"/>
      <c r="J9" s="3"/>
      <c r="K9" s="3"/>
      <c r="L9" s="3"/>
      <c r="M9" s="3"/>
      <c r="N9" s="3"/>
      <c r="O9" s="3"/>
      <c r="P9" s="3"/>
      <c r="Q9" s="3"/>
      <c r="R9" s="3"/>
      <c r="S9" s="3"/>
      <c r="T9" s="3"/>
      <c r="U9" s="3"/>
    </row>
    <row r="10" spans="1:21">
      <c r="A10" s="75"/>
      <c r="B10" s="1" t="s">
        <v>20</v>
      </c>
      <c r="C10" s="3"/>
      <c r="D10" s="3"/>
      <c r="E10" s="3"/>
      <c r="F10" s="3"/>
      <c r="G10" s="3">
        <f>G5</f>
        <v>-0.7</v>
      </c>
      <c r="H10" s="3">
        <f>H6</f>
        <v>-1.2</v>
      </c>
      <c r="I10" s="3"/>
      <c r="J10" s="3"/>
      <c r="K10" s="3"/>
      <c r="L10" s="3"/>
      <c r="M10" s="3"/>
      <c r="N10" s="3"/>
      <c r="O10" s="3"/>
      <c r="P10" s="3"/>
      <c r="Q10" s="3"/>
      <c r="R10" s="3"/>
      <c r="S10" s="3"/>
      <c r="T10" s="3"/>
      <c r="U10" s="3"/>
    </row>
    <row r="11" spans="1:21">
      <c r="A11" s="75"/>
      <c r="B11" s="1" t="s">
        <v>35</v>
      </c>
      <c r="C11" s="3"/>
      <c r="D11" s="3"/>
      <c r="E11" s="3"/>
      <c r="F11" s="3"/>
      <c r="G11" s="3">
        <f>G4</f>
        <v>0</v>
      </c>
      <c r="H11" s="3">
        <f>H5</f>
        <v>-0.7</v>
      </c>
      <c r="I11" s="3"/>
      <c r="J11" s="3"/>
      <c r="K11" s="3"/>
      <c r="L11" s="3"/>
      <c r="M11" s="3"/>
      <c r="N11" s="3"/>
      <c r="O11" s="3"/>
      <c r="P11" s="3"/>
      <c r="Q11" s="3"/>
      <c r="R11" s="3"/>
      <c r="S11" s="3"/>
      <c r="T11" s="3"/>
      <c r="U11" s="3"/>
    </row>
    <row r="12" spans="1:21">
      <c r="A12" s="75" t="s">
        <v>76</v>
      </c>
      <c r="B12" s="1" t="s">
        <v>58</v>
      </c>
      <c r="C12" s="3">
        <v>0</v>
      </c>
      <c r="D12" s="3">
        <v>0</v>
      </c>
      <c r="E12" s="3">
        <f t="shared" ref="E12:S12" si="4">E6</f>
        <v>-1.2</v>
      </c>
      <c r="F12" s="3">
        <f t="shared" si="4"/>
        <v>-1.2</v>
      </c>
      <c r="G12" s="3">
        <f t="shared" si="4"/>
        <v>-1.2</v>
      </c>
      <c r="H12" s="3">
        <f>H6</f>
        <v>-1.2</v>
      </c>
      <c r="I12" s="3">
        <f t="shared" si="4"/>
        <v>-1.2</v>
      </c>
      <c r="J12" s="3">
        <f t="shared" si="4"/>
        <v>-1.2</v>
      </c>
      <c r="K12" s="3">
        <f t="shared" si="4"/>
        <v>-1.2</v>
      </c>
      <c r="L12" s="3">
        <f t="shared" si="4"/>
        <v>-1.2</v>
      </c>
      <c r="M12" s="3">
        <f t="shared" si="4"/>
        <v>-1.2</v>
      </c>
      <c r="N12" s="3">
        <f t="shared" si="4"/>
        <v>-1.2</v>
      </c>
      <c r="O12" s="3">
        <f t="shared" si="4"/>
        <v>-1.2</v>
      </c>
      <c r="P12" s="3">
        <f>P6</f>
        <v>-1.2</v>
      </c>
      <c r="Q12" s="3">
        <f t="shared" si="4"/>
        <v>-1.2</v>
      </c>
      <c r="R12" s="3">
        <f t="shared" si="4"/>
        <v>-1.2</v>
      </c>
      <c r="S12" s="3">
        <f t="shared" si="4"/>
        <v>-1.2</v>
      </c>
      <c r="T12" s="3">
        <v>0</v>
      </c>
      <c r="U12" s="3">
        <v>0</v>
      </c>
    </row>
    <row r="13" spans="1:21">
      <c r="A13" s="75"/>
      <c r="B13" s="1" t="s">
        <v>59</v>
      </c>
      <c r="C13" s="3">
        <f t="shared" ref="C13:H13" si="5">C6*C2/3</f>
        <v>0</v>
      </c>
      <c r="D13" s="3">
        <f t="shared" si="5"/>
        <v>-0.39999999999999997</v>
      </c>
      <c r="E13" s="3">
        <f t="shared" si="5"/>
        <v>-0.39999999999999997</v>
      </c>
      <c r="F13" s="3">
        <f t="shared" si="5"/>
        <v>-0.79999999999999993</v>
      </c>
      <c r="G13" s="3">
        <f t="shared" si="5"/>
        <v>-1.2</v>
      </c>
      <c r="H13" s="3">
        <f t="shared" si="5"/>
        <v>-1.2</v>
      </c>
      <c r="I13" s="3">
        <f t="shared" ref="I13:O13" si="6">I6</f>
        <v>-1.2</v>
      </c>
      <c r="J13" s="3">
        <f t="shared" si="6"/>
        <v>-1.2</v>
      </c>
      <c r="K13" s="3">
        <f t="shared" si="6"/>
        <v>-1.2</v>
      </c>
      <c r="L13" s="3">
        <f t="shared" si="6"/>
        <v>-1.2</v>
      </c>
      <c r="M13" s="3">
        <f t="shared" si="6"/>
        <v>-1.2</v>
      </c>
      <c r="N13" s="3">
        <f t="shared" si="6"/>
        <v>-1.2</v>
      </c>
      <c r="O13" s="3">
        <f t="shared" si="6"/>
        <v>-1.2</v>
      </c>
      <c r="P13" s="3">
        <f>P6</f>
        <v>-1.2</v>
      </c>
      <c r="Q13" s="3">
        <f>Q6*-(Q2-12)/3</f>
        <v>-1.2</v>
      </c>
      <c r="R13" s="3">
        <f>R6*-(R2-12)/3</f>
        <v>-0.79999999999999993</v>
      </c>
      <c r="S13" s="3">
        <f>S6*-(S2-12)/3</f>
        <v>-0.39999999999999997</v>
      </c>
      <c r="T13" s="3">
        <f>T6*-(T2-12)/3</f>
        <v>-0.39999999999999997</v>
      </c>
      <c r="U13" s="3">
        <f>U6*-(U2-12)/3</f>
        <v>0</v>
      </c>
    </row>
    <row r="14" spans="1:21">
      <c r="A14" s="75"/>
      <c r="B14" s="1" t="s">
        <v>60</v>
      </c>
      <c r="C14" s="3">
        <f t="shared" ref="C14:L14" si="7">C6*C2/6</f>
        <v>0</v>
      </c>
      <c r="D14" s="3">
        <f t="shared" si="7"/>
        <v>-0.19999999999999998</v>
      </c>
      <c r="E14" s="3">
        <f t="shared" si="7"/>
        <v>-0.19999999999999998</v>
      </c>
      <c r="F14" s="3">
        <f t="shared" si="7"/>
        <v>-0.39999999999999997</v>
      </c>
      <c r="G14" s="3">
        <f t="shared" si="7"/>
        <v>-0.6</v>
      </c>
      <c r="H14" s="3">
        <f>H6*H2/6</f>
        <v>-0.6</v>
      </c>
      <c r="I14" s="3">
        <f t="shared" si="7"/>
        <v>-0.79999999999999993</v>
      </c>
      <c r="J14" s="3">
        <f t="shared" si="7"/>
        <v>-0.89999999999999991</v>
      </c>
      <c r="K14" s="3">
        <f t="shared" si="7"/>
        <v>-0.89999999999999991</v>
      </c>
      <c r="L14" s="3">
        <f t="shared" si="7"/>
        <v>-1.2</v>
      </c>
      <c r="M14" s="3">
        <f t="shared" ref="M14:U14" si="8">M6*-(M2-12)/6</f>
        <v>-0.89999999999999991</v>
      </c>
      <c r="N14" s="3">
        <f t="shared" si="8"/>
        <v>-0.89999999999999991</v>
      </c>
      <c r="O14" s="3">
        <f t="shared" si="8"/>
        <v>-0.79999999999999993</v>
      </c>
      <c r="P14" s="3">
        <f>P6*-(P2-12)/6</f>
        <v>-0.6</v>
      </c>
      <c r="Q14" s="3">
        <f t="shared" si="8"/>
        <v>-0.6</v>
      </c>
      <c r="R14" s="3">
        <f t="shared" si="8"/>
        <v>-0.39999999999999997</v>
      </c>
      <c r="S14" s="3">
        <f t="shared" si="8"/>
        <v>-0.19999999999999998</v>
      </c>
      <c r="T14" s="3">
        <f t="shared" si="8"/>
        <v>-0.19999999999999998</v>
      </c>
      <c r="U14" s="3">
        <f t="shared" si="8"/>
        <v>0</v>
      </c>
    </row>
    <row r="15" spans="1:21">
      <c r="A15" s="75"/>
      <c r="B15" s="1" t="s">
        <v>61</v>
      </c>
      <c r="C15" s="3">
        <v>0</v>
      </c>
      <c r="D15" s="3">
        <v>0</v>
      </c>
      <c r="E15" s="3">
        <v>0</v>
      </c>
      <c r="F15" s="3">
        <v>0</v>
      </c>
      <c r="G15" s="3">
        <v>0</v>
      </c>
      <c r="H15" s="3">
        <v>0</v>
      </c>
      <c r="I15" s="3">
        <v>0</v>
      </c>
      <c r="J15" s="3">
        <v>0</v>
      </c>
      <c r="K15" s="3">
        <f>K6</f>
        <v>-1.2</v>
      </c>
      <c r="L15" s="3">
        <f>L6</f>
        <v>-1.2</v>
      </c>
      <c r="M15" s="3">
        <f>M6</f>
        <v>-1.2</v>
      </c>
      <c r="N15" s="3">
        <v>0</v>
      </c>
      <c r="O15" s="3">
        <v>0</v>
      </c>
      <c r="P15" s="3">
        <v>0</v>
      </c>
      <c r="Q15" s="3">
        <v>0</v>
      </c>
      <c r="R15" s="3">
        <v>0</v>
      </c>
      <c r="S15" s="3">
        <v>0</v>
      </c>
      <c r="T15" s="3">
        <v>0</v>
      </c>
      <c r="U15" s="3">
        <v>0</v>
      </c>
    </row>
    <row r="16" spans="1:21">
      <c r="A16" s="75"/>
      <c r="B16" s="1" t="s">
        <v>62</v>
      </c>
      <c r="C16" s="3">
        <v>0</v>
      </c>
      <c r="D16" s="3">
        <v>0</v>
      </c>
      <c r="E16" s="3">
        <v>0</v>
      </c>
      <c r="F16" s="3">
        <v>0</v>
      </c>
      <c r="G16" s="3">
        <v>0</v>
      </c>
      <c r="H16" s="3">
        <v>0</v>
      </c>
      <c r="I16" s="3">
        <v>0</v>
      </c>
      <c r="J16" s="3">
        <v>0</v>
      </c>
      <c r="K16" s="3">
        <f>K6</f>
        <v>-1.2</v>
      </c>
      <c r="L16" s="3">
        <f>L6</f>
        <v>-1.2</v>
      </c>
      <c r="M16" s="3">
        <f>M6</f>
        <v>-1.2</v>
      </c>
      <c r="N16" s="3">
        <v>0</v>
      </c>
      <c r="O16" s="3">
        <v>0</v>
      </c>
      <c r="P16" s="3">
        <v>0</v>
      </c>
      <c r="Q16" s="3">
        <v>0</v>
      </c>
      <c r="R16" s="3">
        <v>0</v>
      </c>
      <c r="S16" s="3">
        <v>0</v>
      </c>
      <c r="T16" s="3">
        <v>0</v>
      </c>
      <c r="U16" s="3">
        <v>0</v>
      </c>
    </row>
    <row r="17" spans="1:21">
      <c r="B17" s="1"/>
      <c r="C17" s="3"/>
      <c r="D17" s="3"/>
      <c r="E17" s="3"/>
      <c r="F17" s="3"/>
      <c r="G17" s="3"/>
      <c r="H17" s="3"/>
      <c r="I17" s="3"/>
      <c r="J17" s="3"/>
      <c r="K17" s="3"/>
      <c r="L17" s="3"/>
      <c r="M17" s="3"/>
      <c r="N17" s="3"/>
      <c r="O17" s="3"/>
      <c r="P17" s="3"/>
      <c r="Q17" s="3"/>
      <c r="R17" s="3"/>
      <c r="S17" s="3"/>
      <c r="T17" s="3"/>
      <c r="U17" s="3"/>
    </row>
    <row r="18" spans="1:21">
      <c r="A18" s="76" t="s">
        <v>77</v>
      </c>
      <c r="B18" s="76"/>
      <c r="C18" s="3">
        <f>IF($C$1=1,C12,IF($C$1=2,C13,IF($C$1=3,C14,IF(OR($C$1=4,$C$1=5),C15,1))))</f>
        <v>0</v>
      </c>
      <c r="D18" s="3">
        <f t="shared" ref="D18:U18" si="9">IF($C$1=1,D12,IF($C$1=2,D13,IF($C$1=3,D14,IF(OR($C$1=4,$C$1=5),D15,1))))</f>
        <v>0</v>
      </c>
      <c r="E18" s="3">
        <f t="shared" si="9"/>
        <v>0</v>
      </c>
      <c r="F18" s="3">
        <f t="shared" si="9"/>
        <v>0</v>
      </c>
      <c r="G18" s="3">
        <f t="shared" si="9"/>
        <v>0</v>
      </c>
      <c r="H18" s="3">
        <f>IF($C$1=1,H12,IF($C$1=2,H13,IF($C$1=3,H14,IF(OR($C$1=4,$C$1=5),H15,1))))</f>
        <v>0</v>
      </c>
      <c r="I18" s="3">
        <f t="shared" si="9"/>
        <v>0</v>
      </c>
      <c r="J18" s="3">
        <f t="shared" si="9"/>
        <v>0</v>
      </c>
      <c r="K18" s="3">
        <f t="shared" si="9"/>
        <v>-1.2</v>
      </c>
      <c r="L18" s="3">
        <f t="shared" si="9"/>
        <v>-1.2</v>
      </c>
      <c r="M18" s="3">
        <f t="shared" si="9"/>
        <v>-1.2</v>
      </c>
      <c r="N18" s="3">
        <f t="shared" si="9"/>
        <v>0</v>
      </c>
      <c r="O18" s="3">
        <f t="shared" si="9"/>
        <v>0</v>
      </c>
      <c r="P18" s="3">
        <f>IF($C$1=1,P12,IF($C$1=2,P13,IF($C$1=3,P14,IF(OR($C$1=4,$C$1=5),P15,1))))</f>
        <v>0</v>
      </c>
      <c r="Q18" s="3">
        <f t="shared" si="9"/>
        <v>0</v>
      </c>
      <c r="R18" s="3">
        <f t="shared" si="9"/>
        <v>0</v>
      </c>
      <c r="S18" s="3">
        <f t="shared" si="9"/>
        <v>0</v>
      </c>
      <c r="T18" s="3">
        <f t="shared" si="9"/>
        <v>0</v>
      </c>
      <c r="U18" s="3">
        <f t="shared" si="9"/>
        <v>0</v>
      </c>
    </row>
    <row r="19" spans="1:21">
      <c r="B19" s="1"/>
      <c r="C19" s="3"/>
      <c r="D19" s="3"/>
      <c r="E19" s="3"/>
      <c r="F19" s="3"/>
      <c r="G19" s="3"/>
      <c r="H19" s="3"/>
      <c r="I19" s="3"/>
      <c r="J19" s="3"/>
      <c r="K19" s="3"/>
      <c r="L19" s="3"/>
      <c r="M19" s="3"/>
      <c r="N19" s="3"/>
      <c r="O19" s="3"/>
      <c r="P19" s="3"/>
      <c r="Q19" s="3"/>
      <c r="R19" s="3"/>
      <c r="S19" s="3"/>
      <c r="T19" s="3"/>
      <c r="U19" s="3"/>
    </row>
    <row r="20" spans="1:21">
      <c r="B20" s="1"/>
      <c r="C20" s="3"/>
      <c r="D20" s="3"/>
      <c r="E20" s="3"/>
      <c r="F20" s="3"/>
      <c r="G20" s="3"/>
      <c r="H20" s="3"/>
      <c r="I20" s="3"/>
      <c r="J20" s="3"/>
      <c r="K20" s="3"/>
      <c r="L20" s="3"/>
      <c r="M20" s="3"/>
      <c r="N20" s="3"/>
      <c r="O20" s="3"/>
      <c r="P20" s="3"/>
      <c r="Q20" s="3"/>
      <c r="R20" s="3"/>
      <c r="S20" s="3"/>
      <c r="T20" s="3"/>
      <c r="U20" s="3"/>
    </row>
    <row r="21" spans="1:21">
      <c r="B21" s="1"/>
      <c r="C21" s="3"/>
      <c r="D21" s="3"/>
      <c r="E21" s="3"/>
      <c r="F21" s="3"/>
      <c r="G21" s="3"/>
      <c r="H21" s="3"/>
      <c r="I21" s="3"/>
      <c r="J21" s="3"/>
      <c r="K21" s="3"/>
      <c r="L21" s="3"/>
      <c r="M21" s="3"/>
      <c r="N21" s="3"/>
      <c r="O21" s="3"/>
      <c r="P21" s="3"/>
      <c r="Q21" s="3"/>
      <c r="R21" s="3"/>
      <c r="S21" s="3"/>
      <c r="T21" s="3"/>
      <c r="U21" s="3"/>
    </row>
    <row r="22" spans="1:21">
      <c r="B22" s="1"/>
      <c r="C22" s="3"/>
      <c r="D22" s="3"/>
      <c r="E22" s="3"/>
      <c r="F22" s="3"/>
      <c r="G22" s="3"/>
      <c r="H22" s="3"/>
      <c r="I22" s="3"/>
      <c r="J22" s="3"/>
      <c r="K22" s="3"/>
      <c r="L22" s="3"/>
      <c r="M22" s="3"/>
      <c r="N22" s="3"/>
      <c r="O22" s="3"/>
      <c r="P22" s="3"/>
      <c r="Q22" s="3"/>
      <c r="R22" s="3"/>
      <c r="S22" s="3"/>
      <c r="T22" s="3"/>
      <c r="U22" s="3"/>
    </row>
    <row r="23" spans="1:21">
      <c r="B23" s="1"/>
      <c r="C23" s="3"/>
      <c r="D23" s="3"/>
      <c r="E23" s="3"/>
      <c r="F23" s="3"/>
      <c r="G23" s="3"/>
      <c r="H23" s="3"/>
      <c r="I23" s="3"/>
      <c r="J23" s="3"/>
      <c r="K23" s="3"/>
      <c r="L23" s="3"/>
      <c r="M23" s="3"/>
      <c r="N23" s="3"/>
      <c r="O23" s="3"/>
      <c r="P23" s="3"/>
      <c r="Q23" s="3"/>
      <c r="R23" s="3"/>
      <c r="S23" s="3"/>
      <c r="T23" s="3"/>
      <c r="U23" s="3"/>
    </row>
  </sheetData>
  <sheetProtection algorithmName="SHA-512" hashValue="75kEVny7/9aL3H4EeMK//uonYrjOuvdFErm2Z4bTdrZ0Wv5Epdhap8JZ3IyCDryMPbt3iV9bMEQySrobNow2BA==" saltValue="bI/zi9KF1xVw3YU+8l1tKw==" spinCount="100000" sheet="1" objects="1" scenarios="1"/>
  <mergeCells count="3">
    <mergeCell ref="A4:A11"/>
    <mergeCell ref="A12:A16"/>
    <mergeCell ref="A18:B18"/>
  </mergeCells>
  <phoneticPr fontId="1"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T73"/>
  <sheetViews>
    <sheetView showGridLines="0" zoomScale="85" workbookViewId="0">
      <selection activeCell="G26" sqref="G26"/>
    </sheetView>
  </sheetViews>
  <sheetFormatPr baseColWidth="10" defaultRowHeight="26.1" customHeight="1"/>
  <cols>
    <col min="1" max="1" width="16.7109375" style="9" customWidth="1"/>
    <col min="2" max="2" width="35.5703125" style="9" bestFit="1" customWidth="1"/>
    <col min="3" max="3" width="11.85546875" style="9" customWidth="1"/>
    <col min="4" max="5" width="8.7109375" style="9" customWidth="1"/>
    <col min="6" max="6" width="4.140625" style="57" customWidth="1"/>
    <col min="7" max="8" width="8.7109375" style="9" customWidth="1"/>
    <col min="9" max="9" width="6.28515625" style="57" customWidth="1"/>
    <col min="10" max="10" width="8.7109375" style="9" customWidth="1"/>
    <col min="11" max="11" width="11.140625" style="9" customWidth="1"/>
    <col min="12" max="12" width="8.7109375" style="58" customWidth="1"/>
    <col min="13" max="13" width="10.7109375" style="9" customWidth="1"/>
    <col min="14" max="14" width="26.42578125" style="8" hidden="1" customWidth="1"/>
    <col min="15" max="15" width="27.5703125" style="8" hidden="1" customWidth="1"/>
    <col min="16" max="16" width="24.42578125" style="8" hidden="1" customWidth="1"/>
    <col min="17" max="21" width="9.7109375" style="9" customWidth="1"/>
    <col min="22" max="16384" width="11.42578125" style="9"/>
  </cols>
  <sheetData>
    <row r="1" spans="1:20" ht="15.95" customHeight="1">
      <c r="A1" s="148" t="s">
        <v>47</v>
      </c>
      <c r="B1" s="149"/>
      <c r="C1" s="149"/>
      <c r="D1" s="149"/>
      <c r="E1" s="149"/>
      <c r="F1" s="149"/>
      <c r="G1" s="149"/>
      <c r="H1" s="149"/>
      <c r="I1" s="149"/>
      <c r="J1" s="149"/>
      <c r="K1" s="149"/>
      <c r="L1" s="150"/>
      <c r="M1" s="7"/>
      <c r="N1" s="77" t="s">
        <v>105</v>
      </c>
      <c r="O1" s="78"/>
      <c r="R1" s="10"/>
      <c r="S1" s="10"/>
      <c r="T1" s="10"/>
    </row>
    <row r="2" spans="1:20" ht="15.95" customHeight="1">
      <c r="A2" s="151"/>
      <c r="B2" s="152"/>
      <c r="C2" s="152"/>
      <c r="D2" s="152"/>
      <c r="E2" s="152"/>
      <c r="F2" s="152"/>
      <c r="G2" s="152"/>
      <c r="H2" s="152"/>
      <c r="I2" s="152"/>
      <c r="J2" s="152"/>
      <c r="K2" s="152"/>
      <c r="L2" s="153"/>
      <c r="M2" s="7"/>
      <c r="N2" s="78"/>
      <c r="O2" s="78"/>
      <c r="R2" s="10"/>
      <c r="S2" s="10"/>
      <c r="T2" s="10"/>
    </row>
    <row r="3" spans="1:20" ht="15.95" customHeight="1">
      <c r="A3" s="151"/>
      <c r="B3" s="152"/>
      <c r="C3" s="152"/>
      <c r="D3" s="152"/>
      <c r="E3" s="152"/>
      <c r="F3" s="152"/>
      <c r="G3" s="152"/>
      <c r="H3" s="152"/>
      <c r="I3" s="152"/>
      <c r="J3" s="152"/>
      <c r="K3" s="152"/>
      <c r="L3" s="153"/>
      <c r="M3" s="7"/>
      <c r="N3" s="78"/>
      <c r="O3" s="78"/>
    </row>
    <row r="4" spans="1:20" s="14" customFormat="1" ht="15.95" customHeight="1">
      <c r="A4" s="11" t="s">
        <v>8</v>
      </c>
      <c r="B4" s="12"/>
      <c r="C4" s="12"/>
      <c r="D4" s="12"/>
      <c r="E4" s="12"/>
      <c r="F4" s="12"/>
      <c r="G4" s="12"/>
      <c r="H4" s="12"/>
      <c r="I4" s="12"/>
      <c r="J4" s="12"/>
      <c r="K4" s="12"/>
      <c r="L4" s="13"/>
      <c r="N4" s="79" t="s">
        <v>106</v>
      </c>
      <c r="O4" s="80"/>
      <c r="P4" s="80"/>
    </row>
    <row r="5" spans="1:20" ht="15.95" customHeight="1">
      <c r="A5" s="15"/>
      <c r="B5" s="16"/>
      <c r="C5" s="16"/>
      <c r="D5" s="16"/>
      <c r="E5" s="16"/>
      <c r="F5" s="16"/>
      <c r="G5" s="16"/>
      <c r="H5" s="16"/>
      <c r="I5" s="16"/>
      <c r="J5" s="16"/>
      <c r="K5" s="16"/>
      <c r="L5" s="17"/>
      <c r="M5" s="7"/>
      <c r="N5" s="80"/>
      <c r="O5" s="80"/>
      <c r="P5" s="80"/>
    </row>
    <row r="6" spans="1:20" ht="15.95" customHeight="1">
      <c r="A6" s="173" t="s">
        <v>73</v>
      </c>
      <c r="B6" s="174"/>
      <c r="C6" s="174"/>
      <c r="D6" s="174"/>
      <c r="E6" s="174"/>
      <c r="F6" s="174"/>
      <c r="G6" s="174"/>
      <c r="H6" s="174"/>
      <c r="I6" s="174"/>
      <c r="J6" s="174"/>
      <c r="K6" s="174"/>
      <c r="L6" s="175"/>
      <c r="M6" s="7"/>
      <c r="N6" s="80"/>
      <c r="O6" s="80"/>
      <c r="P6" s="80"/>
    </row>
    <row r="7" spans="1:20" ht="15.95" customHeight="1">
      <c r="A7" s="173"/>
      <c r="B7" s="154" t="s">
        <v>64</v>
      </c>
      <c r="C7" s="154"/>
      <c r="D7" s="154"/>
      <c r="E7" s="154"/>
      <c r="F7" s="154"/>
      <c r="G7" s="154"/>
      <c r="H7" s="154"/>
      <c r="I7" s="154"/>
      <c r="J7" s="154"/>
      <c r="K7" s="154"/>
      <c r="L7" s="155"/>
      <c r="M7" s="7"/>
    </row>
    <row r="8" spans="1:20" ht="15.95" customHeight="1">
      <c r="A8" s="98" t="s">
        <v>48</v>
      </c>
      <c r="B8" s="99"/>
      <c r="C8" s="99"/>
      <c r="D8" s="99"/>
      <c r="E8" s="99"/>
      <c r="F8" s="99"/>
      <c r="G8" s="99"/>
      <c r="H8" s="99"/>
      <c r="I8" s="99"/>
      <c r="J8" s="99"/>
      <c r="K8" s="99"/>
      <c r="L8" s="100"/>
      <c r="M8" s="7"/>
    </row>
    <row r="9" spans="1:20" s="20" customFormat="1" ht="15.95" customHeight="1" thickBot="1">
      <c r="A9" s="18" t="s">
        <v>16</v>
      </c>
      <c r="B9" s="19" t="s">
        <v>12</v>
      </c>
      <c r="C9" s="156" t="s">
        <v>23</v>
      </c>
      <c r="D9" s="156"/>
      <c r="E9" s="156"/>
      <c r="F9" s="156"/>
      <c r="G9" s="156" t="s">
        <v>15</v>
      </c>
      <c r="H9" s="156"/>
      <c r="I9" s="156"/>
      <c r="J9" s="156" t="s">
        <v>22</v>
      </c>
      <c r="K9" s="156"/>
      <c r="L9" s="163"/>
      <c r="N9" s="8"/>
      <c r="O9" s="21"/>
      <c r="P9" s="21"/>
    </row>
    <row r="10" spans="1:20" s="23" customFormat="1" ht="15.95" customHeight="1">
      <c r="A10" s="177">
        <f ca="1">NOW()</f>
        <v>44550.611248842593</v>
      </c>
      <c r="B10" s="167" t="s">
        <v>72</v>
      </c>
      <c r="C10" s="164" t="s">
        <v>70</v>
      </c>
      <c r="D10" s="165"/>
      <c r="E10" s="165"/>
      <c r="F10" s="166"/>
      <c r="G10" s="179" t="s">
        <v>46</v>
      </c>
      <c r="H10" s="179"/>
      <c r="I10" s="179"/>
      <c r="J10" s="157" t="s">
        <v>26</v>
      </c>
      <c r="K10" s="158"/>
      <c r="L10" s="159"/>
      <c r="M10" s="22"/>
      <c r="N10" s="8"/>
      <c r="O10" s="8"/>
      <c r="P10" s="8"/>
    </row>
    <row r="11" spans="1:20" s="23" customFormat="1" ht="15.95" customHeight="1" thickBot="1">
      <c r="A11" s="178"/>
      <c r="B11" s="168"/>
      <c r="C11" s="181" t="s">
        <v>71</v>
      </c>
      <c r="D11" s="182"/>
      <c r="E11" s="182"/>
      <c r="F11" s="183"/>
      <c r="G11" s="180"/>
      <c r="H11" s="180"/>
      <c r="I11" s="180"/>
      <c r="J11" s="160"/>
      <c r="K11" s="161"/>
      <c r="L11" s="162"/>
      <c r="M11" s="22"/>
      <c r="N11" s="8"/>
      <c r="O11" s="8"/>
      <c r="P11" s="8"/>
    </row>
    <row r="12" spans="1:20" ht="15.95" customHeight="1">
      <c r="A12" s="185" t="s">
        <v>13</v>
      </c>
      <c r="B12" s="186"/>
      <c r="C12" s="186"/>
      <c r="D12" s="176" t="s">
        <v>34</v>
      </c>
      <c r="E12" s="176"/>
      <c r="F12" s="176"/>
      <c r="G12" s="176" t="s">
        <v>33</v>
      </c>
      <c r="H12" s="176"/>
      <c r="I12" s="176"/>
      <c r="J12" s="176" t="s">
        <v>32</v>
      </c>
      <c r="K12" s="176"/>
      <c r="L12" s="184"/>
      <c r="M12" s="23"/>
    </row>
    <row r="13" spans="1:20" ht="15.95" customHeight="1" thickBot="1">
      <c r="A13" s="187"/>
      <c r="B13" s="188"/>
      <c r="C13" s="188"/>
      <c r="D13" s="141" t="s">
        <v>50</v>
      </c>
      <c r="E13" s="141"/>
      <c r="F13" s="141"/>
      <c r="G13" s="141" t="s">
        <v>51</v>
      </c>
      <c r="H13" s="141"/>
      <c r="I13" s="141"/>
      <c r="J13" s="141" t="s">
        <v>52</v>
      </c>
      <c r="K13" s="141"/>
      <c r="L13" s="142"/>
      <c r="M13" s="23"/>
      <c r="N13" s="79"/>
    </row>
    <row r="14" spans="1:20" ht="15.95" customHeight="1" thickBot="1">
      <c r="A14" s="105" t="s">
        <v>107</v>
      </c>
      <c r="B14" s="128" t="s">
        <v>124</v>
      </c>
      <c r="C14" s="128"/>
      <c r="D14" s="94">
        <v>1</v>
      </c>
      <c r="E14" s="94"/>
      <c r="F14" s="96"/>
      <c r="G14" s="132">
        <v>1000</v>
      </c>
      <c r="H14" s="133"/>
      <c r="I14" s="134" t="s">
        <v>0</v>
      </c>
      <c r="J14" s="135">
        <f>G14*D14</f>
        <v>1000</v>
      </c>
      <c r="K14" s="135"/>
      <c r="L14" s="130" t="s">
        <v>0</v>
      </c>
      <c r="M14" s="14"/>
      <c r="N14" s="80"/>
    </row>
    <row r="15" spans="1:20" ht="34.5" customHeight="1" thickBot="1">
      <c r="A15" s="107"/>
      <c r="B15" s="129"/>
      <c r="C15" s="129"/>
      <c r="D15" s="95"/>
      <c r="E15" s="95"/>
      <c r="F15" s="97"/>
      <c r="G15" s="132"/>
      <c r="H15" s="133"/>
      <c r="I15" s="134"/>
      <c r="J15" s="136"/>
      <c r="K15" s="136"/>
      <c r="L15" s="131"/>
      <c r="M15" s="10"/>
      <c r="N15" s="8" t="s">
        <v>81</v>
      </c>
      <c r="O15" s="24"/>
    </row>
    <row r="16" spans="1:20" ht="15.95" customHeight="1" thickBot="1">
      <c r="A16" s="107"/>
      <c r="B16" s="169" t="s">
        <v>122</v>
      </c>
      <c r="C16" s="169"/>
      <c r="D16" s="146">
        <v>0.2</v>
      </c>
      <c r="E16" s="146"/>
      <c r="F16" s="103"/>
      <c r="G16" s="132">
        <v>0</v>
      </c>
      <c r="H16" s="133"/>
      <c r="I16" s="134" t="s">
        <v>0</v>
      </c>
      <c r="J16" s="145">
        <f>G16*D16</f>
        <v>0</v>
      </c>
      <c r="K16" s="145"/>
      <c r="L16" s="143" t="s">
        <v>0</v>
      </c>
      <c r="M16" s="14"/>
      <c r="N16" s="8" t="s">
        <v>82</v>
      </c>
    </row>
    <row r="17" spans="1:14" ht="15.95" customHeight="1" thickBot="1">
      <c r="A17" s="107"/>
      <c r="B17" s="170"/>
      <c r="C17" s="170"/>
      <c r="D17" s="95"/>
      <c r="E17" s="95"/>
      <c r="F17" s="97"/>
      <c r="G17" s="132"/>
      <c r="H17" s="133"/>
      <c r="I17" s="134"/>
      <c r="J17" s="136"/>
      <c r="K17" s="136"/>
      <c r="L17" s="131"/>
      <c r="M17" s="14"/>
      <c r="N17" s="8" t="s">
        <v>83</v>
      </c>
    </row>
    <row r="18" spans="1:14" ht="15.95" customHeight="1" thickBot="1">
      <c r="A18" s="107"/>
      <c r="B18" s="171" t="s">
        <v>27</v>
      </c>
      <c r="C18" s="171"/>
      <c r="D18" s="146">
        <v>0</v>
      </c>
      <c r="E18" s="146"/>
      <c r="F18" s="103"/>
      <c r="G18" s="132">
        <v>0</v>
      </c>
      <c r="H18" s="133"/>
      <c r="I18" s="134" t="s">
        <v>0</v>
      </c>
      <c r="J18" s="145">
        <f>G18*D18</f>
        <v>0</v>
      </c>
      <c r="K18" s="145"/>
      <c r="L18" s="143" t="s">
        <v>0</v>
      </c>
      <c r="M18" s="14"/>
      <c r="N18" s="8" t="s">
        <v>84</v>
      </c>
    </row>
    <row r="19" spans="1:14" ht="15.95" customHeight="1" thickBot="1">
      <c r="A19" s="109"/>
      <c r="B19" s="172"/>
      <c r="C19" s="172"/>
      <c r="D19" s="147"/>
      <c r="E19" s="147"/>
      <c r="F19" s="104"/>
      <c r="G19" s="132"/>
      <c r="H19" s="133"/>
      <c r="I19" s="134"/>
      <c r="J19" s="140"/>
      <c r="K19" s="140"/>
      <c r="L19" s="144"/>
      <c r="M19" s="14"/>
      <c r="N19" s="8" t="s">
        <v>85</v>
      </c>
    </row>
    <row r="20" spans="1:14" ht="15.95" customHeight="1">
      <c r="A20" s="105" t="s">
        <v>21</v>
      </c>
      <c r="B20" s="106"/>
      <c r="C20" s="106"/>
      <c r="D20" s="202" t="s">
        <v>38</v>
      </c>
      <c r="E20" s="176"/>
      <c r="F20" s="176"/>
      <c r="G20" s="176" t="s">
        <v>39</v>
      </c>
      <c r="H20" s="176"/>
      <c r="I20" s="176"/>
      <c r="J20" s="176" t="s">
        <v>40</v>
      </c>
      <c r="K20" s="176"/>
      <c r="L20" s="184"/>
      <c r="M20" s="23"/>
      <c r="N20" s="8" t="s">
        <v>86</v>
      </c>
    </row>
    <row r="21" spans="1:14" ht="15.95" customHeight="1">
      <c r="A21" s="107"/>
      <c r="B21" s="108"/>
      <c r="C21" s="108"/>
      <c r="D21" s="203"/>
      <c r="E21" s="190"/>
      <c r="F21" s="190"/>
      <c r="G21" s="190"/>
      <c r="H21" s="190"/>
      <c r="I21" s="190"/>
      <c r="J21" s="190"/>
      <c r="K21" s="190"/>
      <c r="L21" s="255"/>
      <c r="M21" s="23"/>
      <c r="N21" s="8" t="s">
        <v>26</v>
      </c>
    </row>
    <row r="22" spans="1:14" ht="15.95" customHeight="1" thickBot="1">
      <c r="A22" s="107"/>
      <c r="B22" s="108"/>
      <c r="C22" s="108"/>
      <c r="D22" s="198" t="s">
        <v>41</v>
      </c>
      <c r="E22" s="141"/>
      <c r="F22" s="141"/>
      <c r="G22" s="141" t="s">
        <v>53</v>
      </c>
      <c r="H22" s="141"/>
      <c r="I22" s="141"/>
      <c r="J22" s="141" t="s">
        <v>54</v>
      </c>
      <c r="K22" s="141"/>
      <c r="L22" s="142"/>
      <c r="M22" s="23"/>
      <c r="N22" s="8" t="s">
        <v>87</v>
      </c>
    </row>
    <row r="23" spans="1:14" ht="15.95" customHeight="1">
      <c r="A23" s="107"/>
      <c r="B23" s="108"/>
      <c r="C23" s="108"/>
      <c r="D23" s="191">
        <f>IF(G23&lt;&gt;0,J23/G23,)</f>
        <v>1</v>
      </c>
      <c r="E23" s="192"/>
      <c r="F23" s="25"/>
      <c r="G23" s="137">
        <f>SUM(G14:H19)</f>
        <v>1000</v>
      </c>
      <c r="H23" s="138"/>
      <c r="I23" s="256" t="s">
        <v>0</v>
      </c>
      <c r="J23" s="137">
        <f>SUM(J14:K19)</f>
        <v>1000</v>
      </c>
      <c r="K23" s="138"/>
      <c r="L23" s="201" t="s">
        <v>0</v>
      </c>
      <c r="M23" s="14"/>
      <c r="N23" s="8" t="s">
        <v>88</v>
      </c>
    </row>
    <row r="24" spans="1:14" ht="15.95" customHeight="1" thickBot="1">
      <c r="A24" s="109"/>
      <c r="B24" s="110"/>
      <c r="C24" s="110"/>
      <c r="D24" s="193"/>
      <c r="E24" s="194"/>
      <c r="F24" s="26"/>
      <c r="G24" s="139"/>
      <c r="H24" s="140"/>
      <c r="I24" s="257"/>
      <c r="J24" s="139"/>
      <c r="K24" s="140"/>
      <c r="L24" s="144"/>
      <c r="M24" s="14"/>
      <c r="N24" s="8" t="s">
        <v>89</v>
      </c>
    </row>
    <row r="25" spans="1:14" ht="15.95" customHeight="1" thickBot="1">
      <c r="A25" s="195" t="s">
        <v>79</v>
      </c>
      <c r="B25" s="196"/>
      <c r="C25" s="196"/>
      <c r="D25" s="196"/>
      <c r="E25" s="196"/>
      <c r="F25" s="196"/>
      <c r="G25" s="196"/>
      <c r="H25" s="196"/>
      <c r="I25" s="196"/>
      <c r="J25" s="196"/>
      <c r="K25" s="196"/>
      <c r="L25" s="197"/>
      <c r="M25" s="23"/>
      <c r="N25" s="8" t="s">
        <v>90</v>
      </c>
    </row>
    <row r="26" spans="1:14" ht="15.95" customHeight="1" thickBot="1">
      <c r="A26" s="107" t="s">
        <v>49</v>
      </c>
      <c r="B26" s="189" t="s">
        <v>10</v>
      </c>
      <c r="C26" s="189"/>
      <c r="D26" s="215" t="s">
        <v>55</v>
      </c>
      <c r="E26" s="215"/>
      <c r="F26" s="215"/>
      <c r="G26" s="27">
        <v>30</v>
      </c>
      <c r="H26" s="28" t="s">
        <v>56</v>
      </c>
      <c r="I26" s="29"/>
      <c r="J26" s="199">
        <f>G27</f>
        <v>8.3333333333333337E-6</v>
      </c>
      <c r="K26" s="200"/>
      <c r="L26" s="204" t="s">
        <v>2</v>
      </c>
      <c r="N26" s="8" t="s">
        <v>91</v>
      </c>
    </row>
    <row r="27" spans="1:14" ht="15.95" customHeight="1" thickBot="1">
      <c r="A27" s="107"/>
      <c r="B27" s="120"/>
      <c r="C27" s="120"/>
      <c r="D27" s="93"/>
      <c r="E27" s="93"/>
      <c r="F27" s="93"/>
      <c r="G27" s="6">
        <f>IF(G26&lt;&gt;"",G26/3600/1000,"")</f>
        <v>8.3333333333333337E-6</v>
      </c>
      <c r="H27" s="30" t="s">
        <v>2</v>
      </c>
      <c r="I27" s="31"/>
      <c r="J27" s="199"/>
      <c r="K27" s="200"/>
      <c r="L27" s="204"/>
      <c r="M27" s="14"/>
      <c r="N27" s="8" t="s">
        <v>92</v>
      </c>
    </row>
    <row r="28" spans="1:14" ht="15.95" customHeight="1" thickBot="1">
      <c r="A28" s="107"/>
      <c r="B28" s="118" t="s">
        <v>9</v>
      </c>
      <c r="C28" s="118"/>
      <c r="D28" s="81" t="s">
        <v>17</v>
      </c>
      <c r="E28" s="81"/>
      <c r="F28" s="81"/>
      <c r="G28" s="251"/>
      <c r="H28" s="251"/>
      <c r="I28" s="251"/>
      <c r="J28" s="211">
        <f>'F1a infiltration (lignes masq)'!Pn</f>
        <v>3</v>
      </c>
      <c r="K28" s="212"/>
      <c r="L28" s="204" t="s">
        <v>7</v>
      </c>
      <c r="M28" s="14"/>
      <c r="N28" s="8" t="s">
        <v>93</v>
      </c>
    </row>
    <row r="29" spans="1:14" ht="15.95" customHeight="1" thickBot="1">
      <c r="A29" s="107"/>
      <c r="B29" s="189"/>
      <c r="C29" s="189"/>
      <c r="D29" s="251"/>
      <c r="E29" s="251"/>
      <c r="F29" s="251"/>
      <c r="G29" s="251"/>
      <c r="H29" s="251"/>
      <c r="I29" s="251"/>
      <c r="J29" s="213"/>
      <c r="K29" s="214"/>
      <c r="L29" s="205"/>
      <c r="M29" s="14"/>
      <c r="N29" s="8" t="s">
        <v>94</v>
      </c>
    </row>
    <row r="30" spans="1:14" ht="15.95" customHeight="1" thickBot="1">
      <c r="A30" s="208" t="s">
        <v>24</v>
      </c>
      <c r="B30" s="209"/>
      <c r="C30" s="209"/>
      <c r="D30" s="209"/>
      <c r="E30" s="209"/>
      <c r="F30" s="209"/>
      <c r="G30" s="209"/>
      <c r="H30" s="209"/>
      <c r="I30" s="209"/>
      <c r="J30" s="209"/>
      <c r="K30" s="209"/>
      <c r="L30" s="210"/>
      <c r="M30" s="32"/>
      <c r="N30" s="8" t="s">
        <v>95</v>
      </c>
    </row>
    <row r="31" spans="1:14" ht="15.95" customHeight="1">
      <c r="A31" s="233" t="s">
        <v>65</v>
      </c>
      <c r="B31" s="234"/>
      <c r="C31" s="234"/>
      <c r="D31" s="206"/>
      <c r="E31" s="206"/>
      <c r="F31" s="206"/>
      <c r="G31" s="206"/>
      <c r="H31" s="206"/>
      <c r="I31" s="206"/>
      <c r="J31" s="237" t="s">
        <v>1</v>
      </c>
      <c r="K31" s="237"/>
      <c r="L31" s="238"/>
      <c r="M31" s="32"/>
      <c r="N31" s="8" t="s">
        <v>96</v>
      </c>
    </row>
    <row r="32" spans="1:14" ht="15.95" customHeight="1" thickBot="1">
      <c r="A32" s="233"/>
      <c r="B32" s="234"/>
      <c r="C32" s="234"/>
      <c r="D32" s="207"/>
      <c r="E32" s="207"/>
      <c r="F32" s="207"/>
      <c r="G32" s="207"/>
      <c r="H32" s="207"/>
      <c r="I32" s="207"/>
      <c r="J32" s="239"/>
      <c r="K32" s="239"/>
      <c r="L32" s="240"/>
      <c r="M32" s="32"/>
      <c r="N32" s="8" t="s">
        <v>97</v>
      </c>
    </row>
    <row r="33" spans="1:16" ht="15.75" customHeight="1">
      <c r="A33" s="220" t="s">
        <v>113</v>
      </c>
      <c r="B33" s="221"/>
      <c r="C33" s="221"/>
      <c r="D33" s="221"/>
      <c r="E33" s="221"/>
      <c r="F33" s="221"/>
      <c r="G33" s="221"/>
      <c r="H33" s="221"/>
      <c r="I33" s="247"/>
      <c r="J33" s="33"/>
      <c r="K33" s="34"/>
      <c r="L33" s="35"/>
      <c r="M33" s="23"/>
      <c r="N33" s="8" t="s">
        <v>98</v>
      </c>
      <c r="P33" s="9"/>
    </row>
    <row r="34" spans="1:16" ht="15.75" customHeight="1" thickBot="1">
      <c r="A34" s="222"/>
      <c r="B34" s="223"/>
      <c r="C34" s="223"/>
      <c r="D34" s="223"/>
      <c r="E34" s="223"/>
      <c r="F34" s="223"/>
      <c r="G34" s="223"/>
      <c r="H34" s="223"/>
      <c r="I34" s="248"/>
      <c r="J34" s="33" t="s">
        <v>125</v>
      </c>
      <c r="K34" s="34"/>
      <c r="L34" s="36">
        <v>5</v>
      </c>
      <c r="M34" s="23"/>
      <c r="N34" s="8" t="s">
        <v>99</v>
      </c>
      <c r="P34" s="9"/>
    </row>
    <row r="35" spans="1:16" ht="15.95" customHeight="1" thickBot="1">
      <c r="A35" s="208" t="s">
        <v>30</v>
      </c>
      <c r="B35" s="209"/>
      <c r="C35" s="209"/>
      <c r="D35" s="209"/>
      <c r="E35" s="209"/>
      <c r="F35" s="209"/>
      <c r="G35" s="209"/>
      <c r="H35" s="209"/>
      <c r="I35" s="209"/>
      <c r="J35" s="209"/>
      <c r="K35" s="209"/>
      <c r="L35" s="210"/>
      <c r="M35" s="14"/>
      <c r="N35" s="8" t="s">
        <v>100</v>
      </c>
    </row>
    <row r="36" spans="1:16" ht="15.95" customHeight="1">
      <c r="A36" s="230" t="s">
        <v>36</v>
      </c>
      <c r="B36" s="231"/>
      <c r="C36" s="232"/>
      <c r="D36" s="243" t="s">
        <v>123</v>
      </c>
      <c r="E36" s="244"/>
      <c r="F36" s="244"/>
      <c r="G36" s="244"/>
      <c r="H36" s="244"/>
      <c r="I36" s="244"/>
      <c r="J36" s="244"/>
      <c r="K36" s="244"/>
      <c r="L36" s="228"/>
      <c r="M36" s="14"/>
      <c r="N36" s="8" t="s">
        <v>101</v>
      </c>
    </row>
    <row r="37" spans="1:16" ht="15.95" customHeight="1" thickBot="1">
      <c r="A37" s="233"/>
      <c r="B37" s="234"/>
      <c r="C37" s="235"/>
      <c r="D37" s="245"/>
      <c r="E37" s="246"/>
      <c r="F37" s="246"/>
      <c r="G37" s="246"/>
      <c r="H37" s="246"/>
      <c r="I37" s="246"/>
      <c r="J37" s="246"/>
      <c r="K37" s="246"/>
      <c r="L37" s="229"/>
      <c r="M37" s="14"/>
      <c r="N37" s="8" t="s">
        <v>126</v>
      </c>
    </row>
    <row r="38" spans="1:16" ht="15.95" customHeight="1">
      <c r="A38" s="218" t="s">
        <v>63</v>
      </c>
      <c r="B38" s="219"/>
      <c r="C38" s="219"/>
      <c r="D38" s="121" t="s">
        <v>14</v>
      </c>
      <c r="E38" s="121"/>
      <c r="F38" s="121"/>
      <c r="G38" s="121"/>
      <c r="H38" s="121"/>
      <c r="I38" s="121"/>
      <c r="J38" s="241">
        <f>0.0000003*Sa_total*Cs/K</f>
        <v>188.99999999999997</v>
      </c>
      <c r="K38" s="241"/>
      <c r="L38" s="201" t="s">
        <v>0</v>
      </c>
      <c r="M38" s="14"/>
      <c r="N38" s="8" t="s">
        <v>127</v>
      </c>
    </row>
    <row r="39" spans="1:16" ht="15.95" customHeight="1" thickBot="1">
      <c r="A39" s="218"/>
      <c r="B39" s="219"/>
      <c r="C39" s="219"/>
      <c r="D39" s="121"/>
      <c r="E39" s="121"/>
      <c r="F39" s="121"/>
      <c r="G39" s="121"/>
      <c r="H39" s="121"/>
      <c r="I39" s="121"/>
      <c r="J39" s="242"/>
      <c r="K39" s="242"/>
      <c r="L39" s="201"/>
      <c r="M39" s="14"/>
      <c r="N39" s="8" t="s">
        <v>102</v>
      </c>
    </row>
    <row r="40" spans="1:16" ht="15.95" customHeight="1">
      <c r="A40" s="216" t="s">
        <v>66</v>
      </c>
      <c r="B40" s="217"/>
      <c r="C40" s="217"/>
      <c r="D40" s="81" t="s">
        <v>11</v>
      </c>
      <c r="E40" s="81"/>
      <c r="F40" s="81"/>
      <c r="G40" s="81"/>
      <c r="H40" s="81"/>
      <c r="I40" s="249"/>
      <c r="J40" s="224">
        <v>50</v>
      </c>
      <c r="K40" s="225"/>
      <c r="L40" s="205" t="s">
        <v>0</v>
      </c>
      <c r="M40" s="14"/>
      <c r="N40" s="8" t="s">
        <v>103</v>
      </c>
    </row>
    <row r="41" spans="1:16" ht="15.95" customHeight="1" thickBot="1">
      <c r="A41" s="216"/>
      <c r="B41" s="217"/>
      <c r="C41" s="217"/>
      <c r="D41" s="93"/>
      <c r="E41" s="93"/>
      <c r="F41" s="93"/>
      <c r="G41" s="93"/>
      <c r="H41" s="93"/>
      <c r="I41" s="250"/>
      <c r="J41" s="226"/>
      <c r="K41" s="227"/>
      <c r="L41" s="236"/>
      <c r="M41" s="14"/>
      <c r="N41" s="8" t="s">
        <v>104</v>
      </c>
    </row>
    <row r="42" spans="1:16" ht="15.95" customHeight="1">
      <c r="A42" s="111" t="s">
        <v>40</v>
      </c>
      <c r="B42" s="112"/>
      <c r="C42" s="112"/>
      <c r="D42" s="121"/>
      <c r="E42" s="121"/>
      <c r="F42" s="121"/>
      <c r="G42" s="121"/>
      <c r="H42" s="121"/>
      <c r="I42" s="121"/>
      <c r="J42" s="135">
        <f>IF(MID(D36,6,1)="r",Sa,Sa+Si)</f>
        <v>1050</v>
      </c>
      <c r="K42" s="135"/>
      <c r="L42" s="201" t="s">
        <v>0</v>
      </c>
      <c r="M42" s="14"/>
    </row>
    <row r="43" spans="1:16" ht="15.95" customHeight="1">
      <c r="A43" s="113"/>
      <c r="B43" s="114"/>
      <c r="C43" s="114"/>
      <c r="D43" s="102"/>
      <c r="E43" s="102"/>
      <c r="F43" s="102"/>
      <c r="G43" s="102"/>
      <c r="H43" s="102"/>
      <c r="I43" s="102"/>
      <c r="J43" s="136"/>
      <c r="K43" s="136"/>
      <c r="L43" s="131"/>
      <c r="M43" s="14"/>
    </row>
    <row r="44" spans="1:16" ht="15.95" customHeight="1">
      <c r="A44" s="117" t="s">
        <v>45</v>
      </c>
      <c r="B44" s="118"/>
      <c r="C44" s="118"/>
      <c r="D44" s="81" t="s">
        <v>114</v>
      </c>
      <c r="E44" s="81"/>
      <c r="F44" s="81"/>
      <c r="G44" s="124">
        <f>K*Si/(Cs)</f>
        <v>8.3333333333333344E-5</v>
      </c>
      <c r="H44" s="124"/>
      <c r="I44" s="126" t="s">
        <v>3</v>
      </c>
      <c r="J44" s="87" t="s">
        <v>109</v>
      </c>
      <c r="K44" s="253">
        <f>Qi*1000</f>
        <v>8.3333333333333343E-2</v>
      </c>
      <c r="L44" s="143" t="s">
        <v>112</v>
      </c>
      <c r="M44" s="14"/>
    </row>
    <row r="45" spans="1:16" ht="15.95" customHeight="1">
      <c r="A45" s="119"/>
      <c r="B45" s="120"/>
      <c r="C45" s="120"/>
      <c r="D45" s="93"/>
      <c r="E45" s="93"/>
      <c r="F45" s="93"/>
      <c r="G45" s="125"/>
      <c r="H45" s="125"/>
      <c r="I45" s="127"/>
      <c r="J45" s="252"/>
      <c r="K45" s="254"/>
      <c r="L45" s="131"/>
      <c r="M45" s="14"/>
    </row>
    <row r="46" spans="1:16" ht="15.95" customHeight="1">
      <c r="A46" s="37" t="s">
        <v>118</v>
      </c>
      <c r="B46" s="38"/>
      <c r="C46" s="38"/>
      <c r="D46" s="38">
        <v>6</v>
      </c>
      <c r="E46" s="38"/>
      <c r="F46" s="38"/>
      <c r="G46" s="39"/>
      <c r="H46" s="39"/>
      <c r="I46" s="40"/>
      <c r="J46" s="258">
        <f>Qi*3600*D46</f>
        <v>1.8000000000000003</v>
      </c>
      <c r="K46" s="258"/>
      <c r="L46" s="260" t="s">
        <v>115</v>
      </c>
      <c r="M46" s="14"/>
    </row>
    <row r="47" spans="1:16" ht="15.95" customHeight="1">
      <c r="A47" s="37"/>
      <c r="B47" s="38"/>
      <c r="C47" s="38"/>
      <c r="D47" s="38"/>
      <c r="E47" s="38"/>
      <c r="F47" s="38"/>
      <c r="G47" s="39"/>
      <c r="H47" s="39"/>
      <c r="I47" s="40"/>
      <c r="J47" s="259"/>
      <c r="K47" s="259"/>
      <c r="L47" s="261"/>
      <c r="M47" s="14"/>
    </row>
    <row r="48" spans="1:16" ht="15.95" customHeight="1">
      <c r="A48" s="122" t="s">
        <v>119</v>
      </c>
      <c r="B48" s="123"/>
      <c r="C48" s="123"/>
      <c r="D48" s="101" t="s">
        <v>31</v>
      </c>
      <c r="E48" s="101"/>
      <c r="F48" s="101"/>
      <c r="G48" s="101"/>
      <c r="H48" s="101"/>
      <c r="I48" s="101"/>
      <c r="J48" s="145">
        <f>0.028*Sa_total</f>
        <v>29.400000000000002</v>
      </c>
      <c r="K48" s="145"/>
      <c r="L48" s="143" t="s">
        <v>4</v>
      </c>
      <c r="M48" s="41"/>
    </row>
    <row r="49" spans="1:16" ht="15.95" customHeight="1">
      <c r="A49" s="113"/>
      <c r="B49" s="114"/>
      <c r="C49" s="114"/>
      <c r="D49" s="102"/>
      <c r="E49" s="102"/>
      <c r="F49" s="102"/>
      <c r="G49" s="102"/>
      <c r="H49" s="102"/>
      <c r="I49" s="102"/>
      <c r="J49" s="138"/>
      <c r="K49" s="138"/>
      <c r="L49" s="201"/>
      <c r="M49" s="41"/>
    </row>
    <row r="50" spans="1:16" ht="15.95" customHeight="1">
      <c r="A50" s="117" t="s">
        <v>37</v>
      </c>
      <c r="B50" s="118"/>
      <c r="C50" s="118"/>
      <c r="D50" s="81" t="s">
        <v>19</v>
      </c>
      <c r="E50" s="81"/>
      <c r="F50" s="81"/>
      <c r="G50" s="81"/>
      <c r="H50" s="81"/>
      <c r="I50" s="81"/>
      <c r="J50" s="145">
        <f>500*(Sa_total/10000)-J46</f>
        <v>50.7</v>
      </c>
      <c r="K50" s="145"/>
      <c r="L50" s="143" t="s">
        <v>4</v>
      </c>
      <c r="M50" s="14"/>
    </row>
    <row r="51" spans="1:16" ht="15.95" customHeight="1">
      <c r="A51" s="119"/>
      <c r="B51" s="120"/>
      <c r="C51" s="120"/>
      <c r="D51" s="93"/>
      <c r="E51" s="93"/>
      <c r="F51" s="93"/>
      <c r="G51" s="93"/>
      <c r="H51" s="93"/>
      <c r="I51" s="93"/>
      <c r="J51" s="136"/>
      <c r="K51" s="136"/>
      <c r="L51" s="131"/>
      <c r="M51" s="14"/>
    </row>
    <row r="52" spans="1:16" ht="15.95" customHeight="1">
      <c r="A52" s="115" t="s">
        <v>116</v>
      </c>
      <c r="B52" s="116"/>
      <c r="C52" s="116"/>
      <c r="D52" s="81" t="s">
        <v>117</v>
      </c>
      <c r="E52" s="81"/>
      <c r="F52" s="81"/>
      <c r="G52" s="83">
        <f>IF(Qi&lt;&gt;0,Vu/Qi,0)</f>
        <v>608400</v>
      </c>
      <c r="H52" s="83"/>
      <c r="I52" s="85" t="s">
        <v>29</v>
      </c>
      <c r="J52" s="87" t="s">
        <v>109</v>
      </c>
      <c r="K52" s="89" t="str">
        <f>CONCATENATE(TEXT(ROUNDDOWN($G$52/3600,0),"0")," h ",TEXT(MOD($G$52,3600)/60,"00")," mn")</f>
        <v>169 h 00 mn</v>
      </c>
      <c r="L52" s="90"/>
      <c r="M52" s="14"/>
    </row>
    <row r="53" spans="1:16" ht="15.95" customHeight="1" thickBot="1">
      <c r="A53" s="107"/>
      <c r="B53" s="108"/>
      <c r="C53" s="108"/>
      <c r="D53" s="82"/>
      <c r="E53" s="82"/>
      <c r="F53" s="82"/>
      <c r="G53" s="84"/>
      <c r="H53" s="84"/>
      <c r="I53" s="86"/>
      <c r="J53" s="88"/>
      <c r="K53" s="91"/>
      <c r="L53" s="92"/>
      <c r="M53" s="14"/>
    </row>
    <row r="54" spans="1:16" s="42" customFormat="1" ht="15.95" customHeight="1" thickBot="1">
      <c r="A54" s="208" t="s">
        <v>108</v>
      </c>
      <c r="B54" s="209"/>
      <c r="C54" s="209"/>
      <c r="D54" s="209"/>
      <c r="E54" s="209"/>
      <c r="F54" s="209"/>
      <c r="G54" s="209"/>
      <c r="H54" s="209"/>
      <c r="I54" s="209"/>
      <c r="J54" s="209"/>
      <c r="K54" s="209"/>
      <c r="L54" s="210"/>
      <c r="M54" s="20"/>
      <c r="N54" s="8"/>
      <c r="O54" s="21"/>
      <c r="P54" s="21"/>
    </row>
    <row r="55" spans="1:16" ht="15.95" customHeight="1">
      <c r="A55" s="267"/>
      <c r="B55" s="268"/>
      <c r="C55" s="106" t="s">
        <v>78</v>
      </c>
      <c r="D55" s="273" t="s">
        <v>120</v>
      </c>
      <c r="E55" s="274"/>
      <c r="F55" s="274"/>
      <c r="G55" s="274"/>
      <c r="H55" s="274"/>
      <c r="I55" s="274"/>
      <c r="J55" s="274"/>
      <c r="K55" s="274"/>
      <c r="L55" s="205"/>
      <c r="M55" s="43"/>
    </row>
    <row r="56" spans="1:16" ht="15.95" customHeight="1" thickBot="1">
      <c r="A56" s="269"/>
      <c r="B56" s="270"/>
      <c r="C56" s="108"/>
      <c r="D56" s="275"/>
      <c r="E56" s="276"/>
      <c r="F56" s="276"/>
      <c r="G56" s="276"/>
      <c r="H56" s="276"/>
      <c r="I56" s="276"/>
      <c r="J56" s="276"/>
      <c r="K56" s="276"/>
      <c r="L56" s="272"/>
      <c r="M56" s="43"/>
    </row>
    <row r="57" spans="1:16" ht="15.95" customHeight="1">
      <c r="A57" s="269"/>
      <c r="B57" s="270"/>
      <c r="C57" s="277" t="s">
        <v>111</v>
      </c>
      <c r="D57" s="262" t="s">
        <v>80</v>
      </c>
      <c r="E57" s="263"/>
      <c r="F57" s="263"/>
      <c r="G57" s="263" t="s">
        <v>44</v>
      </c>
      <c r="H57" s="263"/>
      <c r="I57" s="263"/>
      <c r="J57" s="263" t="s">
        <v>5</v>
      </c>
      <c r="K57" s="263"/>
      <c r="L57" s="292"/>
      <c r="N57" s="21"/>
    </row>
    <row r="58" spans="1:16" ht="15.95" customHeight="1">
      <c r="A58" s="269"/>
      <c r="B58" s="270"/>
      <c r="C58" s="277"/>
      <c r="D58" s="264"/>
      <c r="E58" s="265"/>
      <c r="F58" s="265"/>
      <c r="G58" s="265"/>
      <c r="H58" s="265"/>
      <c r="I58" s="265"/>
      <c r="J58" s="265"/>
      <c r="K58" s="265"/>
      <c r="L58" s="293"/>
      <c r="N58" s="21"/>
    </row>
    <row r="59" spans="1:16" ht="15.95" customHeight="1" thickBot="1">
      <c r="A59" s="269"/>
      <c r="B59" s="270"/>
      <c r="C59" s="277"/>
      <c r="D59" s="266"/>
      <c r="E59" s="156"/>
      <c r="F59" s="156"/>
      <c r="G59" s="156" t="s">
        <v>18</v>
      </c>
      <c r="H59" s="156"/>
      <c r="I59" s="156"/>
      <c r="J59" s="156" t="s">
        <v>25</v>
      </c>
      <c r="K59" s="156"/>
      <c r="L59" s="163"/>
      <c r="N59" s="44"/>
    </row>
    <row r="60" spans="1:16" ht="15.95" customHeight="1">
      <c r="A60" s="269"/>
      <c r="B60" s="270"/>
      <c r="C60" s="277"/>
      <c r="D60" s="286" t="s">
        <v>121</v>
      </c>
      <c r="E60" s="287"/>
      <c r="F60" s="288"/>
      <c r="G60" s="278">
        <v>0.3</v>
      </c>
      <c r="H60" s="279"/>
      <c r="I60" s="279"/>
      <c r="J60" s="282">
        <f>Vu/Iv</f>
        <v>169.00000000000003</v>
      </c>
      <c r="K60" s="283"/>
      <c r="L60" s="201" t="s">
        <v>4</v>
      </c>
      <c r="M60" s="14"/>
      <c r="N60" s="44"/>
    </row>
    <row r="61" spans="1:16" ht="15.95" customHeight="1" thickBot="1">
      <c r="A61" s="269"/>
      <c r="B61" s="270"/>
      <c r="C61" s="277"/>
      <c r="D61" s="289"/>
      <c r="E61" s="290"/>
      <c r="F61" s="291"/>
      <c r="G61" s="280"/>
      <c r="H61" s="281"/>
      <c r="I61" s="281"/>
      <c r="J61" s="284"/>
      <c r="K61" s="285"/>
      <c r="L61" s="144"/>
      <c r="M61" s="14"/>
    </row>
    <row r="62" spans="1:16" ht="15.95" customHeight="1">
      <c r="A62" s="269"/>
      <c r="B62" s="270"/>
      <c r="C62" s="303" t="s">
        <v>110</v>
      </c>
      <c r="D62" s="262" t="s">
        <v>28</v>
      </c>
      <c r="E62" s="176"/>
      <c r="F62" s="176"/>
      <c r="G62" s="176" t="s">
        <v>42</v>
      </c>
      <c r="H62" s="176"/>
      <c r="I62" s="176"/>
      <c r="J62" s="176" t="s">
        <v>6</v>
      </c>
      <c r="K62" s="176"/>
      <c r="L62" s="184"/>
    </row>
    <row r="63" spans="1:16" ht="15.95" customHeight="1">
      <c r="A63" s="269"/>
      <c r="B63" s="270"/>
      <c r="C63" s="277"/>
      <c r="D63" s="264"/>
      <c r="E63" s="190"/>
      <c r="F63" s="190"/>
      <c r="G63" s="190"/>
      <c r="H63" s="190"/>
      <c r="I63" s="190"/>
      <c r="J63" s="190"/>
      <c r="K63" s="190"/>
      <c r="L63" s="255"/>
    </row>
    <row r="64" spans="1:16" ht="15.95" customHeight="1" thickBot="1">
      <c r="A64" s="269"/>
      <c r="B64" s="270"/>
      <c r="C64" s="277"/>
      <c r="D64" s="271" t="str">
        <f>IF(Données!$C$1&lt;4,CONCATENATE("Hs &gt; ",TEXT(J60/Si," 0.00")," m"),"Hs")</f>
        <v>Hs</v>
      </c>
      <c r="E64" s="141"/>
      <c r="F64" s="141"/>
      <c r="G64" s="141" t="s">
        <v>35</v>
      </c>
      <c r="H64" s="141"/>
      <c r="I64" s="141"/>
      <c r="J64" s="141" t="s">
        <v>43</v>
      </c>
      <c r="K64" s="141"/>
      <c r="L64" s="142"/>
    </row>
    <row r="65" spans="1:16" ht="15.95" customHeight="1">
      <c r="A65" s="269"/>
      <c r="B65" s="270"/>
      <c r="C65" s="277"/>
      <c r="D65" s="213">
        <f>'F1a infiltration (lignes masq)'!Hs</f>
        <v>0.5</v>
      </c>
      <c r="E65" s="214"/>
      <c r="F65" s="301" t="s">
        <v>7</v>
      </c>
      <c r="G65" s="213">
        <f>'F1a infiltration (lignes masq)'!Hc</f>
        <v>0.7</v>
      </c>
      <c r="H65" s="214"/>
      <c r="I65" s="297" t="s">
        <v>7</v>
      </c>
      <c r="J65" s="299">
        <f>Pn-Hs-Hc</f>
        <v>1.8</v>
      </c>
      <c r="K65" s="299"/>
      <c r="L65" s="130" t="s">
        <v>7</v>
      </c>
      <c r="M65" s="14"/>
    </row>
    <row r="66" spans="1:16" ht="15.95" customHeight="1" thickBot="1">
      <c r="A66" s="269"/>
      <c r="B66" s="270"/>
      <c r="C66" s="277"/>
      <c r="D66" s="295"/>
      <c r="E66" s="296"/>
      <c r="F66" s="302"/>
      <c r="G66" s="295"/>
      <c r="H66" s="296"/>
      <c r="I66" s="298"/>
      <c r="J66" s="300"/>
      <c r="K66" s="300"/>
      <c r="L66" s="201"/>
      <c r="M66" s="14"/>
    </row>
    <row r="67" spans="1:16" s="23" customFormat="1" ht="15.95" customHeight="1">
      <c r="A67" s="45"/>
      <c r="B67" s="45"/>
      <c r="C67" s="46"/>
      <c r="D67" s="47"/>
      <c r="E67" s="47"/>
      <c r="F67" s="48"/>
      <c r="G67" s="47"/>
      <c r="H67" s="47"/>
      <c r="I67" s="48"/>
      <c r="J67" s="49"/>
      <c r="K67" s="49"/>
      <c r="L67" s="48"/>
      <c r="M67" s="41"/>
      <c r="N67" s="8"/>
      <c r="O67" s="8"/>
      <c r="P67" s="8"/>
    </row>
    <row r="68" spans="1:16" s="56" customFormat="1" ht="15.95" customHeight="1">
      <c r="A68" s="50"/>
      <c r="B68" s="50"/>
      <c r="C68" s="51"/>
      <c r="D68" s="52"/>
      <c r="E68" s="52"/>
      <c r="F68" s="53"/>
      <c r="G68" s="52"/>
      <c r="H68" s="52"/>
      <c r="I68" s="53"/>
      <c r="J68" s="54"/>
      <c r="K68" s="54"/>
      <c r="L68" s="53"/>
      <c r="M68" s="55"/>
      <c r="N68" s="8"/>
      <c r="O68" s="44"/>
      <c r="P68" s="44"/>
    </row>
    <row r="69" spans="1:16" s="23" customFormat="1" ht="15.95" customHeight="1">
      <c r="A69" s="50"/>
      <c r="B69" s="50"/>
      <c r="C69" s="51"/>
      <c r="D69" s="52"/>
      <c r="E69" s="52"/>
      <c r="F69" s="53"/>
      <c r="G69" s="52"/>
      <c r="H69" s="52"/>
      <c r="I69" s="53"/>
      <c r="J69" s="54"/>
      <c r="K69" s="54"/>
      <c r="L69" s="53"/>
      <c r="M69" s="41"/>
      <c r="N69" s="8"/>
      <c r="O69" s="8"/>
      <c r="P69" s="8"/>
    </row>
    <row r="70" spans="1:16" ht="14.1" customHeight="1">
      <c r="A70" s="294" t="str">
        <f ca="1">CONCATENATE("© Communauté Urbaine de Bordeaux - Direction de l'EAU - 2012 ", IF(YEAR(NOW())&lt;&gt;2012,YEAR(NOW()),""))</f>
        <v>© Communauté Urbaine de Bordeaux - Direction de l'EAU - 2012 2021</v>
      </c>
      <c r="B70" s="294"/>
      <c r="C70" s="294"/>
      <c r="D70" s="294"/>
      <c r="E70" s="294"/>
      <c r="F70" s="294"/>
      <c r="G70" s="294"/>
      <c r="H70" s="294"/>
      <c r="I70" s="294"/>
      <c r="J70" s="294"/>
      <c r="K70" s="294"/>
      <c r="L70" s="294"/>
      <c r="N70" s="44"/>
    </row>
    <row r="71" spans="1:16" ht="26.1" customHeight="1">
      <c r="N71" s="59"/>
    </row>
    <row r="72" spans="1:16" ht="26.1" customHeight="1">
      <c r="N72" s="60"/>
    </row>
    <row r="73" spans="1:16" ht="26.1" customHeight="1">
      <c r="G73" s="10"/>
      <c r="N73" s="44"/>
    </row>
  </sheetData>
  <sheetProtection algorithmName="SHA-512" hashValue="DdoarBSgdWeoODOn4bFcA52Lvy3lr0KC88K97sWVE6qphfm2lm96McUDQqh7W1KELTrqvn1MImShsFTxkjxbBg==" saltValue="RMvfs7rCfi1FPcddz5Ay5Q==" spinCount="100000" sheet="1"/>
  <mergeCells count="142">
    <mergeCell ref="J60:K61"/>
    <mergeCell ref="D60:F61"/>
    <mergeCell ref="J57:L58"/>
    <mergeCell ref="A70:L70"/>
    <mergeCell ref="G65:H66"/>
    <mergeCell ref="I65:I66"/>
    <mergeCell ref="J65:K66"/>
    <mergeCell ref="L65:L66"/>
    <mergeCell ref="D65:E66"/>
    <mergeCell ref="F65:F66"/>
    <mergeCell ref="C62:C66"/>
    <mergeCell ref="D62:F63"/>
    <mergeCell ref="J64:L64"/>
    <mergeCell ref="J48:K49"/>
    <mergeCell ref="L48:L49"/>
    <mergeCell ref="L44:L45"/>
    <mergeCell ref="L50:L51"/>
    <mergeCell ref="J42:K43"/>
    <mergeCell ref="J46:K47"/>
    <mergeCell ref="L46:L47"/>
    <mergeCell ref="J50:K51"/>
    <mergeCell ref="D57:F59"/>
    <mergeCell ref="A54:L54"/>
    <mergeCell ref="A55:B66"/>
    <mergeCell ref="D64:F64"/>
    <mergeCell ref="L55:L56"/>
    <mergeCell ref="J59:L59"/>
    <mergeCell ref="J62:L63"/>
    <mergeCell ref="L60:L61"/>
    <mergeCell ref="G59:I59"/>
    <mergeCell ref="G64:I64"/>
    <mergeCell ref="C55:C56"/>
    <mergeCell ref="D55:K56"/>
    <mergeCell ref="G62:I63"/>
    <mergeCell ref="C57:C61"/>
    <mergeCell ref="G57:I58"/>
    <mergeCell ref="G60:I61"/>
    <mergeCell ref="J44:J45"/>
    <mergeCell ref="K44:K45"/>
    <mergeCell ref="J20:L21"/>
    <mergeCell ref="G18:H19"/>
    <mergeCell ref="L26:L27"/>
    <mergeCell ref="G23:H24"/>
    <mergeCell ref="I23:I24"/>
    <mergeCell ref="L38:L39"/>
    <mergeCell ref="L42:L43"/>
    <mergeCell ref="A40:C41"/>
    <mergeCell ref="A38:C39"/>
    <mergeCell ref="A33:C34"/>
    <mergeCell ref="J40:K41"/>
    <mergeCell ref="L36:L37"/>
    <mergeCell ref="A36:C37"/>
    <mergeCell ref="A31:C32"/>
    <mergeCell ref="B28:C29"/>
    <mergeCell ref="L40:L41"/>
    <mergeCell ref="J31:L32"/>
    <mergeCell ref="J38:K39"/>
    <mergeCell ref="D36:K37"/>
    <mergeCell ref="A35:L35"/>
    <mergeCell ref="D33:I34"/>
    <mergeCell ref="D40:I41"/>
    <mergeCell ref="D28:I29"/>
    <mergeCell ref="B26:C27"/>
    <mergeCell ref="G16:H17"/>
    <mergeCell ref="G20:I21"/>
    <mergeCell ref="D23:E24"/>
    <mergeCell ref="A25:L25"/>
    <mergeCell ref="D22:F22"/>
    <mergeCell ref="J26:K27"/>
    <mergeCell ref="D38:I39"/>
    <mergeCell ref="J16:K17"/>
    <mergeCell ref="L23:L24"/>
    <mergeCell ref="D20:F21"/>
    <mergeCell ref="L28:L29"/>
    <mergeCell ref="D31:I32"/>
    <mergeCell ref="A30:L30"/>
    <mergeCell ref="J28:K29"/>
    <mergeCell ref="A26:A29"/>
    <mergeCell ref="D26:F27"/>
    <mergeCell ref="A1:L3"/>
    <mergeCell ref="B7:L7"/>
    <mergeCell ref="G9:I9"/>
    <mergeCell ref="J10:L11"/>
    <mergeCell ref="J9:L9"/>
    <mergeCell ref="C10:F10"/>
    <mergeCell ref="B10:B11"/>
    <mergeCell ref="B16:C17"/>
    <mergeCell ref="B18:C19"/>
    <mergeCell ref="A6:A7"/>
    <mergeCell ref="B6:L6"/>
    <mergeCell ref="D12:F12"/>
    <mergeCell ref="G13:I13"/>
    <mergeCell ref="J13:L13"/>
    <mergeCell ref="A10:A11"/>
    <mergeCell ref="C9:F9"/>
    <mergeCell ref="G10:I11"/>
    <mergeCell ref="G12:I12"/>
    <mergeCell ref="C11:F11"/>
    <mergeCell ref="J12:L12"/>
    <mergeCell ref="D13:F13"/>
    <mergeCell ref="A12:C13"/>
    <mergeCell ref="A14:A19"/>
    <mergeCell ref="L16:L17"/>
    <mergeCell ref="B14:C15"/>
    <mergeCell ref="L14:L15"/>
    <mergeCell ref="G14:H15"/>
    <mergeCell ref="I14:I15"/>
    <mergeCell ref="J14:K15"/>
    <mergeCell ref="J23:K24"/>
    <mergeCell ref="J22:L22"/>
    <mergeCell ref="L18:L19"/>
    <mergeCell ref="G22:I22"/>
    <mergeCell ref="J18:K19"/>
    <mergeCell ref="I16:I17"/>
    <mergeCell ref="I18:I19"/>
    <mergeCell ref="D16:E17"/>
    <mergeCell ref="F16:F17"/>
    <mergeCell ref="D18:E19"/>
    <mergeCell ref="N1:O3"/>
    <mergeCell ref="N4:P6"/>
    <mergeCell ref="D52:F53"/>
    <mergeCell ref="G52:H53"/>
    <mergeCell ref="I52:I53"/>
    <mergeCell ref="J52:J53"/>
    <mergeCell ref="K52:L53"/>
    <mergeCell ref="D44:F45"/>
    <mergeCell ref="D14:E15"/>
    <mergeCell ref="F14:F15"/>
    <mergeCell ref="N13:N14"/>
    <mergeCell ref="A8:L8"/>
    <mergeCell ref="D48:I49"/>
    <mergeCell ref="F18:F19"/>
    <mergeCell ref="A20:C24"/>
    <mergeCell ref="A42:C43"/>
    <mergeCell ref="A52:C53"/>
    <mergeCell ref="A44:C45"/>
    <mergeCell ref="D42:I43"/>
    <mergeCell ref="A48:C49"/>
    <mergeCell ref="A50:C51"/>
    <mergeCell ref="D50:I51"/>
    <mergeCell ref="G44:H45"/>
    <mergeCell ref="I44:I45"/>
  </mergeCells>
  <phoneticPr fontId="1" type="noConversion"/>
  <conditionalFormatting sqref="K52">
    <cfRule type="expression" dxfId="11" priority="1" stopIfTrue="1">
      <formula>$G$52&gt;86400</formula>
    </cfRule>
  </conditionalFormatting>
  <conditionalFormatting sqref="J40:K41 G52">
    <cfRule type="expression" dxfId="10" priority="2" stopIfTrue="1">
      <formula>$G$52&gt;86400</formula>
    </cfRule>
  </conditionalFormatting>
  <conditionalFormatting sqref="J60:K61">
    <cfRule type="cellIs" dxfId="9" priority="3" stopIfTrue="1" operator="lessThan">
      <formula>$J$48</formula>
    </cfRule>
  </conditionalFormatting>
  <conditionalFormatting sqref="L40:L41">
    <cfRule type="expression" dxfId="8" priority="4" stopIfTrue="1">
      <formula>$G$52&gt;86400</formula>
    </cfRule>
  </conditionalFormatting>
  <conditionalFormatting sqref="L65:L66">
    <cfRule type="expression" dxfId="7" priority="5" stopIfTrue="1">
      <formula>$J$65&lt;1</formula>
    </cfRule>
  </conditionalFormatting>
  <conditionalFormatting sqref="J65:K66">
    <cfRule type="cellIs" dxfId="6" priority="6" stopIfTrue="1" operator="lessThan">
      <formula>1</formula>
    </cfRule>
  </conditionalFormatting>
  <dataValidations count="11">
    <dataValidation type="decimal" operator="greaterThanOrEqual" allowBlank="1" showInputMessage="1" showErrorMessage="1" sqref="J60" xr:uid="{00000000-0002-0000-0100-000000000000}">
      <formula1>J48</formula1>
    </dataValidation>
    <dataValidation type="whole" allowBlank="1" showInputMessage="1" showErrorMessage="1" sqref="J40:K41" xr:uid="{00000000-0002-0000-0100-000001000000}">
      <formula1>J38</formula1>
      <formula2>G23</formula2>
    </dataValidation>
    <dataValidation type="list" allowBlank="1" showInputMessage="1" showErrorMessage="1" sqref="D36:K37" xr:uid="{00000000-0002-0000-0100-000002000000}">
      <formula1>"Sous couverture perméable,A ciel ouvert,Sous revêtement imperméable ou Tranchée drainante ou puisard "</formula1>
    </dataValidation>
    <dataValidation type="list" allowBlank="1" showInputMessage="1" showErrorMessage="1" sqref="D55" xr:uid="{00000000-0002-0000-0100-000003000000}">
      <formula1>"Structure réservoir,Bassin,Noue,Tranchée drainante,Puisard"</formula1>
    </dataValidation>
    <dataValidation type="whole" operator="greaterThanOrEqual" allowBlank="1" showInputMessage="1" showErrorMessage="1" sqref="I18 I16 G14:H19 I14" xr:uid="{00000000-0002-0000-0100-000004000000}">
      <formula1>0</formula1>
    </dataValidation>
    <dataValidation type="list" allowBlank="1" showInputMessage="1" showErrorMessage="1" sqref="G60:I61" xr:uid="{00000000-0002-0000-0100-000005000000}">
      <formula1>"1,0.95,0.9,0.85,0.8,0.75,0.7,0.65,0.6,0.55,0.5,0.45,0.4,0.35,0.3"</formula1>
    </dataValidation>
    <dataValidation type="decimal" operator="greaterThan" allowBlank="1" showInputMessage="1" showErrorMessage="1" sqref="J28:K29" xr:uid="{00000000-0002-0000-0100-000006000000}">
      <formula1>1</formula1>
    </dataValidation>
    <dataValidation type="decimal" allowBlank="1" showInputMessage="1" showErrorMessage="1" sqref="J26:K27" xr:uid="{00000000-0002-0000-0100-000007000000}">
      <formula1>0.0000029</formula1>
      <formula2>0.0011</formula2>
    </dataValidation>
    <dataValidation type="list" allowBlank="1" showInputMessage="1" showErrorMessage="1" sqref="D60:F61" xr:uid="{00000000-0002-0000-0100-000008000000}">
      <formula1>"diorite 40/70,alvéolaire,autre,sans"</formula1>
    </dataValidation>
    <dataValidation type="decimal" operator="greaterThanOrEqual" allowBlank="1" showInputMessage="1" showErrorMessage="1" sqref="G65:H66" xr:uid="{00000000-0002-0000-0100-000009000000}">
      <formula1>0.1</formula1>
    </dataValidation>
    <dataValidation type="list" allowBlank="1" showInputMessage="1" showErrorMessage="1" sqref="J10:L11" xr:uid="{00000000-0002-0000-0100-00000A000000}">
      <formula1>$N$15:$N$37</formula1>
    </dataValidation>
  </dataValidations>
  <printOptions horizontalCentered="1" verticalCentered="1"/>
  <pageMargins left="0.39370078740157483" right="0.39370078740157483" top="0.39370078740157483" bottom="0.39370078740157483" header="0.19685039370078741" footer="0.51181102362204722"/>
  <pageSetup paperSize="9" scale="66" orientation="portrait" verticalDpi="4" r:id="rId1"/>
  <headerFooter alignWithMargins="0"/>
  <drawing r:id="rId2"/>
  <legacyDrawing r:id="rId3"/>
  <webPublishItems count="1">
    <webPublishItem id="5763" divId="Fiche 1- Feuilles de saisie_5763" sourceType="printArea" destinationFile="D:\Documents and Settings\jjsigaud\Bureau\Page.htm"/>
  </webPublishItem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T73"/>
  <sheetViews>
    <sheetView showGridLines="0" tabSelected="1" zoomScale="85" workbookViewId="0">
      <selection activeCell="Q29" sqref="Q29"/>
    </sheetView>
  </sheetViews>
  <sheetFormatPr baseColWidth="10" defaultRowHeight="26.1" customHeight="1"/>
  <cols>
    <col min="1" max="1" width="16.7109375" style="9" customWidth="1"/>
    <col min="2" max="2" width="35.5703125" style="9" bestFit="1" customWidth="1"/>
    <col min="3" max="3" width="11.85546875" style="9" customWidth="1"/>
    <col min="4" max="5" width="8.7109375" style="9" customWidth="1"/>
    <col min="6" max="6" width="4.140625" style="57" customWidth="1"/>
    <col min="7" max="8" width="8.7109375" style="9" customWidth="1"/>
    <col min="9" max="9" width="6.28515625" style="57" customWidth="1"/>
    <col min="10" max="10" width="8.7109375" style="9" customWidth="1"/>
    <col min="11" max="11" width="11.140625" style="9" customWidth="1"/>
    <col min="12" max="12" width="8.7109375" style="58" customWidth="1"/>
    <col min="13" max="13" width="10.42578125" style="9" customWidth="1"/>
    <col min="14" max="14" width="26.42578125" style="8" hidden="1" customWidth="1"/>
    <col min="15" max="15" width="27.5703125" style="8" hidden="1" customWidth="1"/>
    <col min="16" max="16" width="24.42578125" style="8" hidden="1" customWidth="1"/>
    <col min="17" max="21" width="9.7109375" style="9" customWidth="1"/>
    <col min="22" max="16384" width="11.42578125" style="9"/>
  </cols>
  <sheetData>
    <row r="1" spans="1:20" ht="15.95" customHeight="1">
      <c r="A1" s="431" t="s">
        <v>47</v>
      </c>
      <c r="B1" s="432"/>
      <c r="C1" s="432"/>
      <c r="D1" s="432"/>
      <c r="E1" s="432"/>
      <c r="F1" s="432"/>
      <c r="G1" s="432"/>
      <c r="H1" s="432"/>
      <c r="I1" s="432"/>
      <c r="J1" s="432"/>
      <c r="K1" s="432"/>
      <c r="L1" s="433"/>
      <c r="M1" s="7"/>
      <c r="N1" s="77" t="s">
        <v>105</v>
      </c>
      <c r="O1" s="78"/>
      <c r="R1" s="10"/>
      <c r="S1" s="10"/>
      <c r="T1" s="10"/>
    </row>
    <row r="2" spans="1:20" ht="15.95" customHeight="1">
      <c r="A2" s="434"/>
      <c r="B2" s="435"/>
      <c r="C2" s="435"/>
      <c r="D2" s="435"/>
      <c r="E2" s="435"/>
      <c r="F2" s="435"/>
      <c r="G2" s="435"/>
      <c r="H2" s="435"/>
      <c r="I2" s="435"/>
      <c r="J2" s="435"/>
      <c r="K2" s="435"/>
      <c r="L2" s="436"/>
      <c r="M2" s="7"/>
      <c r="N2" s="78"/>
      <c r="O2" s="78"/>
      <c r="R2" s="10"/>
      <c r="S2" s="10"/>
      <c r="T2" s="10"/>
    </row>
    <row r="3" spans="1:20" ht="15.95" customHeight="1">
      <c r="A3" s="434"/>
      <c r="B3" s="435"/>
      <c r="C3" s="435"/>
      <c r="D3" s="435"/>
      <c r="E3" s="435"/>
      <c r="F3" s="435"/>
      <c r="G3" s="435"/>
      <c r="H3" s="435"/>
      <c r="I3" s="435"/>
      <c r="J3" s="435"/>
      <c r="K3" s="435"/>
      <c r="L3" s="436"/>
      <c r="M3" s="7"/>
      <c r="N3" s="78"/>
      <c r="O3" s="78"/>
    </row>
    <row r="4" spans="1:20" s="14" customFormat="1" ht="15.95" customHeight="1">
      <c r="A4" s="62" t="s">
        <v>8</v>
      </c>
      <c r="B4" s="63"/>
      <c r="C4" s="63"/>
      <c r="D4" s="63"/>
      <c r="E4" s="63"/>
      <c r="F4" s="63"/>
      <c r="G4" s="63"/>
      <c r="H4" s="63"/>
      <c r="I4" s="63"/>
      <c r="J4" s="63"/>
      <c r="K4" s="63"/>
      <c r="L4" s="64"/>
      <c r="N4" s="79" t="s">
        <v>106</v>
      </c>
      <c r="O4" s="80"/>
      <c r="P4" s="80"/>
    </row>
    <row r="5" spans="1:20" ht="15.95" customHeight="1">
      <c r="A5" s="15"/>
      <c r="B5" s="16"/>
      <c r="C5" s="16"/>
      <c r="D5" s="16"/>
      <c r="E5" s="16"/>
      <c r="F5" s="16"/>
      <c r="G5" s="16"/>
      <c r="H5" s="16"/>
      <c r="I5" s="16"/>
      <c r="J5" s="16"/>
      <c r="K5" s="16"/>
      <c r="L5" s="17"/>
      <c r="M5" s="7"/>
      <c r="N5" s="80"/>
      <c r="O5" s="80"/>
      <c r="P5" s="80"/>
    </row>
    <row r="6" spans="1:20" ht="15.95" customHeight="1">
      <c r="A6" s="441" t="s">
        <v>73</v>
      </c>
      <c r="B6" s="174"/>
      <c r="C6" s="174"/>
      <c r="D6" s="174"/>
      <c r="E6" s="174"/>
      <c r="F6" s="174"/>
      <c r="G6" s="174"/>
      <c r="H6" s="174"/>
      <c r="I6" s="174"/>
      <c r="J6" s="174"/>
      <c r="K6" s="174"/>
      <c r="L6" s="175"/>
      <c r="M6" s="7"/>
      <c r="N6" s="80"/>
      <c r="O6" s="80"/>
      <c r="P6" s="80"/>
    </row>
    <row r="7" spans="1:20" ht="15.95" customHeight="1">
      <c r="A7" s="441"/>
      <c r="B7" s="437" t="s">
        <v>64</v>
      </c>
      <c r="C7" s="437"/>
      <c r="D7" s="437"/>
      <c r="E7" s="437"/>
      <c r="F7" s="437"/>
      <c r="G7" s="437"/>
      <c r="H7" s="437"/>
      <c r="I7" s="437"/>
      <c r="J7" s="437"/>
      <c r="K7" s="437"/>
      <c r="L7" s="438"/>
      <c r="M7" s="7"/>
    </row>
    <row r="8" spans="1:20" ht="15.95" customHeight="1">
      <c r="A8" s="458" t="s">
        <v>48</v>
      </c>
      <c r="B8" s="459"/>
      <c r="C8" s="459"/>
      <c r="D8" s="459"/>
      <c r="E8" s="459"/>
      <c r="F8" s="459"/>
      <c r="G8" s="459"/>
      <c r="H8" s="459"/>
      <c r="I8" s="459"/>
      <c r="J8" s="459"/>
      <c r="K8" s="459"/>
      <c r="L8" s="460"/>
      <c r="M8" s="7"/>
    </row>
    <row r="9" spans="1:20" s="20" customFormat="1" ht="15.95" customHeight="1" thickBot="1">
      <c r="A9" s="65" t="s">
        <v>16</v>
      </c>
      <c r="B9" s="66" t="s">
        <v>12</v>
      </c>
      <c r="C9" s="337" t="s">
        <v>23</v>
      </c>
      <c r="D9" s="337"/>
      <c r="E9" s="337"/>
      <c r="F9" s="337"/>
      <c r="G9" s="337" t="s">
        <v>15</v>
      </c>
      <c r="H9" s="337"/>
      <c r="I9" s="337"/>
      <c r="J9" s="337" t="s">
        <v>22</v>
      </c>
      <c r="K9" s="337"/>
      <c r="L9" s="344"/>
      <c r="N9" s="8"/>
      <c r="O9" s="21"/>
      <c r="P9" s="21"/>
    </row>
    <row r="10" spans="1:20" s="23" customFormat="1" ht="15.95" customHeight="1">
      <c r="A10" s="442">
        <f ca="1">NOW()</f>
        <v>44550.611248842593</v>
      </c>
      <c r="B10" s="439" t="s">
        <v>72</v>
      </c>
      <c r="C10" s="452" t="s">
        <v>70</v>
      </c>
      <c r="D10" s="453"/>
      <c r="E10" s="453"/>
      <c r="F10" s="454"/>
      <c r="G10" s="444" t="s">
        <v>46</v>
      </c>
      <c r="H10" s="444"/>
      <c r="I10" s="444"/>
      <c r="J10" s="446" t="s">
        <v>135</v>
      </c>
      <c r="K10" s="447"/>
      <c r="L10" s="448"/>
      <c r="M10" s="22"/>
      <c r="N10" s="8"/>
      <c r="O10" s="8"/>
      <c r="P10" s="8"/>
    </row>
    <row r="11" spans="1:20" s="23" customFormat="1" ht="15.95" customHeight="1" thickBot="1">
      <c r="A11" s="443"/>
      <c r="B11" s="440"/>
      <c r="C11" s="455" t="s">
        <v>157</v>
      </c>
      <c r="D11" s="456"/>
      <c r="E11" s="456"/>
      <c r="F11" s="457"/>
      <c r="G11" s="445"/>
      <c r="H11" s="445"/>
      <c r="I11" s="445"/>
      <c r="J11" s="449"/>
      <c r="K11" s="450"/>
      <c r="L11" s="451"/>
      <c r="M11" s="22"/>
      <c r="N11" s="8"/>
      <c r="O11" s="8"/>
      <c r="P11" s="8"/>
    </row>
    <row r="12" spans="1:20" ht="15.95" customHeight="1">
      <c r="A12" s="419" t="s">
        <v>13</v>
      </c>
      <c r="B12" s="420"/>
      <c r="C12" s="420"/>
      <c r="D12" s="324" t="s">
        <v>34</v>
      </c>
      <c r="E12" s="324"/>
      <c r="F12" s="324"/>
      <c r="G12" s="324" t="s">
        <v>33</v>
      </c>
      <c r="H12" s="324"/>
      <c r="I12" s="324"/>
      <c r="J12" s="324" t="s">
        <v>32</v>
      </c>
      <c r="K12" s="324"/>
      <c r="L12" s="345"/>
      <c r="M12" s="23"/>
    </row>
    <row r="13" spans="1:20" ht="15.95" customHeight="1" thickBot="1">
      <c r="A13" s="421"/>
      <c r="B13" s="422"/>
      <c r="C13" s="422"/>
      <c r="D13" s="327" t="s">
        <v>50</v>
      </c>
      <c r="E13" s="327"/>
      <c r="F13" s="327"/>
      <c r="G13" s="327" t="s">
        <v>51</v>
      </c>
      <c r="H13" s="327"/>
      <c r="I13" s="327"/>
      <c r="J13" s="327" t="s">
        <v>52</v>
      </c>
      <c r="K13" s="327"/>
      <c r="L13" s="328"/>
      <c r="M13" s="23"/>
      <c r="N13" s="79"/>
    </row>
    <row r="14" spans="1:20" ht="15.95" customHeight="1" thickBot="1">
      <c r="A14" s="105" t="s">
        <v>107</v>
      </c>
      <c r="B14" s="128" t="s">
        <v>124</v>
      </c>
      <c r="C14" s="128"/>
      <c r="D14" s="473">
        <v>0.9</v>
      </c>
      <c r="E14" s="473"/>
      <c r="F14" s="474"/>
      <c r="G14" s="405">
        <v>1000</v>
      </c>
      <c r="H14" s="406"/>
      <c r="I14" s="423" t="s">
        <v>0</v>
      </c>
      <c r="J14" s="387">
        <f>G14*D14</f>
        <v>900</v>
      </c>
      <c r="K14" s="387"/>
      <c r="L14" s="319" t="s">
        <v>0</v>
      </c>
      <c r="M14" s="14"/>
      <c r="N14" s="80"/>
    </row>
    <row r="15" spans="1:20" ht="34.5" customHeight="1" thickBot="1">
      <c r="A15" s="107"/>
      <c r="B15" s="129"/>
      <c r="C15" s="129"/>
      <c r="D15" s="461"/>
      <c r="E15" s="461"/>
      <c r="F15" s="462"/>
      <c r="G15" s="405"/>
      <c r="H15" s="406"/>
      <c r="I15" s="423"/>
      <c r="J15" s="362"/>
      <c r="K15" s="362"/>
      <c r="L15" s="348"/>
      <c r="M15" s="10"/>
      <c r="N15" s="8" t="s">
        <v>129</v>
      </c>
      <c r="O15" s="24"/>
    </row>
    <row r="16" spans="1:20" ht="15.95" customHeight="1" thickBot="1">
      <c r="A16" s="107"/>
      <c r="B16" s="169" t="s">
        <v>122</v>
      </c>
      <c r="C16" s="169"/>
      <c r="D16" s="424">
        <v>0.2</v>
      </c>
      <c r="E16" s="424"/>
      <c r="F16" s="426"/>
      <c r="G16" s="405">
        <v>0</v>
      </c>
      <c r="H16" s="406"/>
      <c r="I16" s="423" t="s">
        <v>0</v>
      </c>
      <c r="J16" s="361">
        <f>G16*D16</f>
        <v>0</v>
      </c>
      <c r="K16" s="361"/>
      <c r="L16" s="347" t="s">
        <v>0</v>
      </c>
      <c r="M16" s="14"/>
      <c r="N16" s="8" t="s">
        <v>130</v>
      </c>
    </row>
    <row r="17" spans="1:14" ht="15.95" customHeight="1" thickBot="1">
      <c r="A17" s="107"/>
      <c r="B17" s="170"/>
      <c r="C17" s="170"/>
      <c r="D17" s="461"/>
      <c r="E17" s="461"/>
      <c r="F17" s="462"/>
      <c r="G17" s="405"/>
      <c r="H17" s="406"/>
      <c r="I17" s="423"/>
      <c r="J17" s="362"/>
      <c r="K17" s="362"/>
      <c r="L17" s="348"/>
      <c r="M17" s="14"/>
      <c r="N17" s="8" t="s">
        <v>131</v>
      </c>
    </row>
    <row r="18" spans="1:14" ht="15.95" customHeight="1" thickBot="1">
      <c r="A18" s="107"/>
      <c r="B18" s="171" t="s">
        <v>27</v>
      </c>
      <c r="C18" s="171"/>
      <c r="D18" s="424">
        <v>0</v>
      </c>
      <c r="E18" s="424"/>
      <c r="F18" s="426"/>
      <c r="G18" s="405">
        <v>1000</v>
      </c>
      <c r="H18" s="406"/>
      <c r="I18" s="423" t="s">
        <v>0</v>
      </c>
      <c r="J18" s="361">
        <f>G18*D18</f>
        <v>0</v>
      </c>
      <c r="K18" s="361"/>
      <c r="L18" s="347" t="s">
        <v>0</v>
      </c>
      <c r="M18" s="14"/>
      <c r="N18" s="8" t="s">
        <v>132</v>
      </c>
    </row>
    <row r="19" spans="1:14" ht="15.95" customHeight="1" thickBot="1">
      <c r="A19" s="109"/>
      <c r="B19" s="172"/>
      <c r="C19" s="172"/>
      <c r="D19" s="425"/>
      <c r="E19" s="425"/>
      <c r="F19" s="427"/>
      <c r="G19" s="405"/>
      <c r="H19" s="406"/>
      <c r="I19" s="423"/>
      <c r="J19" s="398"/>
      <c r="K19" s="398"/>
      <c r="L19" s="329"/>
      <c r="M19" s="14"/>
      <c r="N19" s="8" t="s">
        <v>133</v>
      </c>
    </row>
    <row r="20" spans="1:14" ht="15.95" customHeight="1">
      <c r="A20" s="105" t="s">
        <v>21</v>
      </c>
      <c r="B20" s="106"/>
      <c r="C20" s="106"/>
      <c r="D20" s="414" t="s">
        <v>38</v>
      </c>
      <c r="E20" s="324"/>
      <c r="F20" s="324"/>
      <c r="G20" s="324" t="s">
        <v>39</v>
      </c>
      <c r="H20" s="324"/>
      <c r="I20" s="324"/>
      <c r="J20" s="324" t="s">
        <v>40</v>
      </c>
      <c r="K20" s="324"/>
      <c r="L20" s="345"/>
      <c r="M20" s="23"/>
      <c r="N20" s="8" t="s">
        <v>134</v>
      </c>
    </row>
    <row r="21" spans="1:14" ht="15.95" customHeight="1">
      <c r="A21" s="107"/>
      <c r="B21" s="108"/>
      <c r="C21" s="108"/>
      <c r="D21" s="415"/>
      <c r="E21" s="326"/>
      <c r="F21" s="326"/>
      <c r="G21" s="326"/>
      <c r="H21" s="326"/>
      <c r="I21" s="326"/>
      <c r="J21" s="326"/>
      <c r="K21" s="326"/>
      <c r="L21" s="346"/>
      <c r="M21" s="23"/>
      <c r="N21" s="8" t="s">
        <v>135</v>
      </c>
    </row>
    <row r="22" spans="1:14" ht="15.95" customHeight="1" thickBot="1">
      <c r="A22" s="107"/>
      <c r="B22" s="108"/>
      <c r="C22" s="108"/>
      <c r="D22" s="479" t="s">
        <v>41</v>
      </c>
      <c r="E22" s="327"/>
      <c r="F22" s="327"/>
      <c r="G22" s="327" t="s">
        <v>53</v>
      </c>
      <c r="H22" s="327"/>
      <c r="I22" s="327"/>
      <c r="J22" s="327" t="s">
        <v>54</v>
      </c>
      <c r="K22" s="327"/>
      <c r="L22" s="328"/>
      <c r="M22" s="23"/>
      <c r="N22" s="8" t="s">
        <v>136</v>
      </c>
    </row>
    <row r="23" spans="1:14" ht="15.95" customHeight="1">
      <c r="A23" s="107"/>
      <c r="B23" s="108"/>
      <c r="C23" s="108"/>
      <c r="D23" s="410">
        <f>IF(G23&lt;&gt;0,J23/G23,)</f>
        <v>0.45</v>
      </c>
      <c r="E23" s="411"/>
      <c r="F23" s="67"/>
      <c r="G23" s="407">
        <f>SUM(G14:H19)</f>
        <v>2000</v>
      </c>
      <c r="H23" s="387"/>
      <c r="I23" s="416" t="s">
        <v>0</v>
      </c>
      <c r="J23" s="418">
        <f>SUM(J14:K19)</f>
        <v>900</v>
      </c>
      <c r="K23" s="386"/>
      <c r="L23" s="320" t="s">
        <v>0</v>
      </c>
      <c r="M23" s="14"/>
      <c r="N23" s="8" t="s">
        <v>137</v>
      </c>
    </row>
    <row r="24" spans="1:14" ht="15.95" customHeight="1" thickBot="1">
      <c r="A24" s="109"/>
      <c r="B24" s="110"/>
      <c r="C24" s="110"/>
      <c r="D24" s="412"/>
      <c r="E24" s="413"/>
      <c r="F24" s="68"/>
      <c r="G24" s="408"/>
      <c r="H24" s="398"/>
      <c r="I24" s="417"/>
      <c r="J24" s="408"/>
      <c r="K24" s="398"/>
      <c r="L24" s="329"/>
      <c r="M24" s="14"/>
      <c r="N24" s="8" t="s">
        <v>138</v>
      </c>
    </row>
    <row r="25" spans="1:14" ht="15.95" customHeight="1" thickBot="1">
      <c r="A25" s="428" t="s">
        <v>79</v>
      </c>
      <c r="B25" s="429"/>
      <c r="C25" s="429"/>
      <c r="D25" s="429"/>
      <c r="E25" s="429"/>
      <c r="F25" s="429"/>
      <c r="G25" s="429"/>
      <c r="H25" s="429"/>
      <c r="I25" s="429"/>
      <c r="J25" s="429"/>
      <c r="K25" s="429"/>
      <c r="L25" s="430"/>
      <c r="M25" s="23"/>
      <c r="N25" s="8" t="s">
        <v>139</v>
      </c>
    </row>
    <row r="26" spans="1:14" ht="15.95" customHeight="1" thickBot="1">
      <c r="A26" s="107" t="s">
        <v>49</v>
      </c>
      <c r="B26" s="189" t="s">
        <v>10</v>
      </c>
      <c r="C26" s="189"/>
      <c r="D26" s="409" t="s">
        <v>55</v>
      </c>
      <c r="E26" s="409"/>
      <c r="F26" s="409"/>
      <c r="G26" s="61">
        <v>10.7</v>
      </c>
      <c r="H26" s="69" t="s">
        <v>56</v>
      </c>
      <c r="I26" s="70"/>
      <c r="J26" s="369">
        <f>G27</f>
        <v>2.9722222222222221E-6</v>
      </c>
      <c r="K26" s="370"/>
      <c r="L26" s="397" t="s">
        <v>2</v>
      </c>
      <c r="N26" s="8" t="s">
        <v>140</v>
      </c>
    </row>
    <row r="27" spans="1:14" ht="15.95" customHeight="1" thickBot="1">
      <c r="A27" s="107"/>
      <c r="B27" s="120"/>
      <c r="C27" s="120"/>
      <c r="D27" s="376"/>
      <c r="E27" s="376"/>
      <c r="F27" s="376"/>
      <c r="G27" s="6">
        <f>IF(G26&lt;&gt;"",G26/3600/1000,"")</f>
        <v>2.9722222222222221E-6</v>
      </c>
      <c r="H27" s="30" t="s">
        <v>2</v>
      </c>
      <c r="I27" s="71"/>
      <c r="J27" s="371"/>
      <c r="K27" s="372"/>
      <c r="L27" s="397"/>
      <c r="M27" s="14"/>
      <c r="N27" s="8" t="s">
        <v>141</v>
      </c>
    </row>
    <row r="28" spans="1:14" ht="15.95" customHeight="1" thickBot="1">
      <c r="A28" s="107"/>
      <c r="B28" s="118" t="s">
        <v>9</v>
      </c>
      <c r="C28" s="118"/>
      <c r="D28" s="375" t="s">
        <v>17</v>
      </c>
      <c r="E28" s="375"/>
      <c r="F28" s="375"/>
      <c r="G28" s="480"/>
      <c r="H28" s="480"/>
      <c r="I28" s="480"/>
      <c r="J28" s="477">
        <v>3</v>
      </c>
      <c r="K28" s="478"/>
      <c r="L28" s="397" t="s">
        <v>7</v>
      </c>
      <c r="M28" s="14"/>
      <c r="N28" s="8" t="s">
        <v>142</v>
      </c>
    </row>
    <row r="29" spans="1:14" ht="15.95" customHeight="1" thickBot="1">
      <c r="A29" s="107"/>
      <c r="B29" s="189"/>
      <c r="C29" s="189"/>
      <c r="D29" s="480"/>
      <c r="E29" s="480"/>
      <c r="F29" s="480"/>
      <c r="G29" s="480"/>
      <c r="H29" s="480"/>
      <c r="I29" s="480"/>
      <c r="J29" s="311"/>
      <c r="K29" s="312"/>
      <c r="L29" s="342"/>
      <c r="M29" s="14"/>
      <c r="N29" s="8" t="s">
        <v>143</v>
      </c>
    </row>
    <row r="30" spans="1:14" ht="15.95" customHeight="1" thickBot="1">
      <c r="A30" s="338" t="s">
        <v>24</v>
      </c>
      <c r="B30" s="339"/>
      <c r="C30" s="339"/>
      <c r="D30" s="339"/>
      <c r="E30" s="339"/>
      <c r="F30" s="339"/>
      <c r="G30" s="339"/>
      <c r="H30" s="339"/>
      <c r="I30" s="339"/>
      <c r="J30" s="339"/>
      <c r="K30" s="339"/>
      <c r="L30" s="340"/>
      <c r="M30" s="32"/>
      <c r="N30" s="8" t="s">
        <v>144</v>
      </c>
    </row>
    <row r="31" spans="1:14" ht="15.95" customHeight="1">
      <c r="A31" s="233" t="s">
        <v>65</v>
      </c>
      <c r="B31" s="234"/>
      <c r="C31" s="234"/>
      <c r="D31" s="475"/>
      <c r="E31" s="475"/>
      <c r="F31" s="475"/>
      <c r="G31" s="475"/>
      <c r="H31" s="475"/>
      <c r="I31" s="475"/>
      <c r="J31" s="391" t="s">
        <v>1</v>
      </c>
      <c r="K31" s="391"/>
      <c r="L31" s="392"/>
      <c r="M31" s="32"/>
      <c r="N31" s="8" t="s">
        <v>145</v>
      </c>
    </row>
    <row r="32" spans="1:14" ht="15.75" customHeight="1" thickBot="1">
      <c r="A32" s="233"/>
      <c r="B32" s="234"/>
      <c r="C32" s="234"/>
      <c r="D32" s="476"/>
      <c r="E32" s="476"/>
      <c r="F32" s="476"/>
      <c r="G32" s="476"/>
      <c r="H32" s="476"/>
      <c r="I32" s="476"/>
      <c r="J32" s="393"/>
      <c r="K32" s="393"/>
      <c r="L32" s="394"/>
      <c r="M32" s="32"/>
      <c r="N32" s="8" t="s">
        <v>146</v>
      </c>
    </row>
    <row r="33" spans="1:16" ht="15.75" hidden="1" customHeight="1" thickBot="1">
      <c r="A33" s="220" t="s">
        <v>113</v>
      </c>
      <c r="B33" s="221"/>
      <c r="C33" s="221"/>
      <c r="D33" s="221"/>
      <c r="E33" s="221"/>
      <c r="F33" s="221"/>
      <c r="G33" s="221"/>
      <c r="H33" s="221"/>
      <c r="I33" s="247"/>
      <c r="J33" s="33"/>
      <c r="K33" s="34"/>
      <c r="L33" s="35"/>
      <c r="M33" s="23"/>
      <c r="N33" s="8" t="s">
        <v>147</v>
      </c>
      <c r="P33" s="9"/>
    </row>
    <row r="34" spans="1:16" ht="15.75" hidden="1" customHeight="1" thickBot="1">
      <c r="A34" s="222"/>
      <c r="B34" s="223"/>
      <c r="C34" s="223"/>
      <c r="D34" s="223"/>
      <c r="E34" s="223"/>
      <c r="F34" s="223"/>
      <c r="G34" s="223"/>
      <c r="H34" s="223"/>
      <c r="I34" s="248"/>
      <c r="J34" s="33" t="s">
        <v>125</v>
      </c>
      <c r="K34" s="34"/>
      <c r="L34" s="36">
        <v>5</v>
      </c>
      <c r="M34" s="23"/>
      <c r="N34" s="8" t="s">
        <v>148</v>
      </c>
      <c r="P34" s="9"/>
    </row>
    <row r="35" spans="1:16" ht="15.95" customHeight="1" thickBot="1">
      <c r="A35" s="338" t="s">
        <v>30</v>
      </c>
      <c r="B35" s="339"/>
      <c r="C35" s="339"/>
      <c r="D35" s="339"/>
      <c r="E35" s="339"/>
      <c r="F35" s="339"/>
      <c r="G35" s="339"/>
      <c r="H35" s="339"/>
      <c r="I35" s="339"/>
      <c r="J35" s="339"/>
      <c r="K35" s="339"/>
      <c r="L35" s="340"/>
      <c r="M35" s="14"/>
      <c r="N35" s="8" t="s">
        <v>149</v>
      </c>
    </row>
    <row r="36" spans="1:16" ht="15.95" customHeight="1">
      <c r="A36" s="230" t="s">
        <v>36</v>
      </c>
      <c r="B36" s="231"/>
      <c r="C36" s="232"/>
      <c r="D36" s="382" t="s">
        <v>123</v>
      </c>
      <c r="E36" s="383"/>
      <c r="F36" s="383"/>
      <c r="G36" s="383"/>
      <c r="H36" s="383"/>
      <c r="I36" s="383"/>
      <c r="J36" s="383"/>
      <c r="K36" s="383"/>
      <c r="L36" s="367"/>
      <c r="M36" s="14"/>
      <c r="N36" s="8" t="s">
        <v>150</v>
      </c>
    </row>
    <row r="37" spans="1:16" ht="15.95" customHeight="1" thickBot="1">
      <c r="A37" s="233"/>
      <c r="B37" s="234"/>
      <c r="C37" s="235"/>
      <c r="D37" s="384"/>
      <c r="E37" s="385"/>
      <c r="F37" s="385"/>
      <c r="G37" s="385"/>
      <c r="H37" s="385"/>
      <c r="I37" s="385"/>
      <c r="J37" s="385"/>
      <c r="K37" s="385"/>
      <c r="L37" s="368"/>
      <c r="M37" s="14"/>
      <c r="N37" s="8" t="s">
        <v>151</v>
      </c>
    </row>
    <row r="38" spans="1:16" ht="15.95" customHeight="1">
      <c r="A38" s="218" t="s">
        <v>63</v>
      </c>
      <c r="B38" s="219"/>
      <c r="C38" s="219"/>
      <c r="D38" s="373" t="s">
        <v>14</v>
      </c>
      <c r="E38" s="373"/>
      <c r="F38" s="373"/>
      <c r="G38" s="373"/>
      <c r="H38" s="373"/>
      <c r="I38" s="373"/>
      <c r="J38" s="395">
        <f>0.0000003*Sa_total*Cs/K</f>
        <v>520.31775700934577</v>
      </c>
      <c r="K38" s="395"/>
      <c r="L38" s="320" t="s">
        <v>0</v>
      </c>
      <c r="M38" s="14"/>
      <c r="N38" s="8" t="s">
        <v>152</v>
      </c>
    </row>
    <row r="39" spans="1:16" ht="15.95" customHeight="1" thickBot="1">
      <c r="A39" s="218"/>
      <c r="B39" s="219"/>
      <c r="C39" s="219"/>
      <c r="D39" s="373"/>
      <c r="E39" s="373"/>
      <c r="F39" s="373"/>
      <c r="G39" s="373"/>
      <c r="H39" s="373"/>
      <c r="I39" s="373"/>
      <c r="J39" s="396"/>
      <c r="K39" s="396"/>
      <c r="L39" s="320"/>
      <c r="M39" s="14"/>
      <c r="N39" s="8" t="s">
        <v>153</v>
      </c>
    </row>
    <row r="40" spans="1:16" ht="15.95" customHeight="1">
      <c r="A40" s="216" t="s">
        <v>66</v>
      </c>
      <c r="B40" s="217"/>
      <c r="C40" s="217"/>
      <c r="D40" s="375" t="s">
        <v>11</v>
      </c>
      <c r="E40" s="375"/>
      <c r="F40" s="375"/>
      <c r="G40" s="375"/>
      <c r="H40" s="375"/>
      <c r="I40" s="399"/>
      <c r="J40" s="401">
        <v>131</v>
      </c>
      <c r="K40" s="402"/>
      <c r="L40" s="342" t="s">
        <v>0</v>
      </c>
      <c r="M40" s="14"/>
      <c r="N40" s="8" t="s">
        <v>154</v>
      </c>
    </row>
    <row r="41" spans="1:16" ht="15.95" customHeight="1" thickBot="1">
      <c r="A41" s="216"/>
      <c r="B41" s="217"/>
      <c r="C41" s="217"/>
      <c r="D41" s="376"/>
      <c r="E41" s="376"/>
      <c r="F41" s="376"/>
      <c r="G41" s="376"/>
      <c r="H41" s="376"/>
      <c r="I41" s="400"/>
      <c r="J41" s="403"/>
      <c r="K41" s="404"/>
      <c r="L41" s="390"/>
      <c r="M41" s="14"/>
      <c r="N41" s="8" t="s">
        <v>155</v>
      </c>
    </row>
    <row r="42" spans="1:16" ht="15.95" customHeight="1">
      <c r="A42" s="111" t="s">
        <v>40</v>
      </c>
      <c r="B42" s="112"/>
      <c r="C42" s="112"/>
      <c r="D42" s="373"/>
      <c r="E42" s="373"/>
      <c r="F42" s="373"/>
      <c r="G42" s="373"/>
      <c r="H42" s="373"/>
      <c r="I42" s="373"/>
      <c r="J42" s="387">
        <f>IF(MID(D36,6,1)="r",Sa,Sa+Si)</f>
        <v>1031</v>
      </c>
      <c r="K42" s="387"/>
      <c r="L42" s="320" t="s">
        <v>0</v>
      </c>
      <c r="M42" s="14"/>
      <c r="N42" s="8" t="s">
        <v>156</v>
      </c>
    </row>
    <row r="43" spans="1:16" ht="15.95" customHeight="1">
      <c r="A43" s="113"/>
      <c r="B43" s="114"/>
      <c r="C43" s="114"/>
      <c r="D43" s="374"/>
      <c r="E43" s="374"/>
      <c r="F43" s="374"/>
      <c r="G43" s="374"/>
      <c r="H43" s="374"/>
      <c r="I43" s="374"/>
      <c r="J43" s="362"/>
      <c r="K43" s="362"/>
      <c r="L43" s="348"/>
      <c r="M43" s="14"/>
    </row>
    <row r="44" spans="1:16" ht="15.95" customHeight="1">
      <c r="A44" s="117" t="s">
        <v>45</v>
      </c>
      <c r="B44" s="118"/>
      <c r="C44" s="118"/>
      <c r="D44" s="375" t="s">
        <v>114</v>
      </c>
      <c r="E44" s="375"/>
      <c r="F44" s="375"/>
      <c r="G44" s="377">
        <f>K*Si/(Cs)</f>
        <v>7.7872222222222221E-5</v>
      </c>
      <c r="H44" s="377"/>
      <c r="I44" s="379" t="s">
        <v>3</v>
      </c>
      <c r="J44" s="363" t="s">
        <v>109</v>
      </c>
      <c r="K44" s="365">
        <f>Qi*1000</f>
        <v>7.7872222222222218E-2</v>
      </c>
      <c r="L44" s="347" t="s">
        <v>112</v>
      </c>
      <c r="M44" s="14"/>
    </row>
    <row r="45" spans="1:16" ht="15.75" customHeight="1">
      <c r="A45" s="119"/>
      <c r="B45" s="120"/>
      <c r="C45" s="120"/>
      <c r="D45" s="376"/>
      <c r="E45" s="376"/>
      <c r="F45" s="376"/>
      <c r="G45" s="378"/>
      <c r="H45" s="378"/>
      <c r="I45" s="380"/>
      <c r="J45" s="364"/>
      <c r="K45" s="366"/>
      <c r="L45" s="348"/>
      <c r="M45" s="14"/>
    </row>
    <row r="46" spans="1:16" ht="15.75" hidden="1" customHeight="1">
      <c r="A46" s="37" t="s">
        <v>118</v>
      </c>
      <c r="B46" s="38"/>
      <c r="C46" s="38"/>
      <c r="D46" s="72">
        <v>6</v>
      </c>
      <c r="E46" s="72"/>
      <c r="F46" s="72"/>
      <c r="G46" s="73"/>
      <c r="H46" s="73"/>
      <c r="I46" s="74"/>
      <c r="J46" s="365">
        <f>Qi*3600*D46</f>
        <v>1.6820399999999998</v>
      </c>
      <c r="K46" s="365"/>
      <c r="L46" s="388" t="s">
        <v>115</v>
      </c>
      <c r="M46" s="14"/>
    </row>
    <row r="47" spans="1:16" ht="15.75" hidden="1" customHeight="1">
      <c r="A47" s="37"/>
      <c r="B47" s="38"/>
      <c r="C47" s="38"/>
      <c r="D47" s="72"/>
      <c r="E47" s="72"/>
      <c r="F47" s="72"/>
      <c r="G47" s="73"/>
      <c r="H47" s="73"/>
      <c r="I47" s="74"/>
      <c r="J47" s="366"/>
      <c r="K47" s="366"/>
      <c r="L47" s="389"/>
      <c r="M47" s="14"/>
    </row>
    <row r="48" spans="1:16" ht="15.95" customHeight="1">
      <c r="A48" s="122" t="s">
        <v>119</v>
      </c>
      <c r="B48" s="123"/>
      <c r="C48" s="123"/>
      <c r="D48" s="381" t="s">
        <v>31</v>
      </c>
      <c r="E48" s="381"/>
      <c r="F48" s="381"/>
      <c r="G48" s="381"/>
      <c r="H48" s="381"/>
      <c r="I48" s="381"/>
      <c r="J48" s="361">
        <f>0.028*Sa_total</f>
        <v>28.868000000000002</v>
      </c>
      <c r="K48" s="361"/>
      <c r="L48" s="347" t="s">
        <v>4</v>
      </c>
      <c r="M48" s="41"/>
    </row>
    <row r="49" spans="1:16" ht="15.95" customHeight="1">
      <c r="A49" s="113"/>
      <c r="B49" s="114"/>
      <c r="C49" s="114"/>
      <c r="D49" s="374"/>
      <c r="E49" s="374"/>
      <c r="F49" s="374"/>
      <c r="G49" s="374"/>
      <c r="H49" s="374"/>
      <c r="I49" s="374"/>
      <c r="J49" s="386"/>
      <c r="K49" s="386"/>
      <c r="L49" s="320"/>
      <c r="M49" s="41"/>
    </row>
    <row r="50" spans="1:16" ht="15.95" customHeight="1">
      <c r="A50" s="117" t="s">
        <v>37</v>
      </c>
      <c r="B50" s="118"/>
      <c r="C50" s="118"/>
      <c r="D50" s="375" t="s">
        <v>19</v>
      </c>
      <c r="E50" s="375"/>
      <c r="F50" s="375"/>
      <c r="G50" s="375"/>
      <c r="H50" s="375"/>
      <c r="I50" s="375"/>
      <c r="J50" s="330">
        <f>IF((500*(Sa_total/10000)-J46)&lt;J48,J48,500*(Sa_total/10000)-J46)</f>
        <v>49.867959999999997</v>
      </c>
      <c r="K50" s="330"/>
      <c r="L50" s="347" t="s">
        <v>4</v>
      </c>
      <c r="M50" s="14"/>
    </row>
    <row r="51" spans="1:16" ht="15.95" customHeight="1">
      <c r="A51" s="119"/>
      <c r="B51" s="120"/>
      <c r="C51" s="120"/>
      <c r="D51" s="376"/>
      <c r="E51" s="376"/>
      <c r="F51" s="376"/>
      <c r="G51" s="376"/>
      <c r="H51" s="376"/>
      <c r="I51" s="376"/>
      <c r="J51" s="331"/>
      <c r="K51" s="331"/>
      <c r="L51" s="348"/>
      <c r="M51" s="14"/>
    </row>
    <row r="52" spans="1:16" ht="15.95" customHeight="1">
      <c r="A52" s="115" t="s">
        <v>116</v>
      </c>
      <c r="B52" s="116"/>
      <c r="C52" s="116"/>
      <c r="D52" s="375" t="s">
        <v>117</v>
      </c>
      <c r="E52" s="375"/>
      <c r="F52" s="375"/>
      <c r="G52" s="464">
        <f>IF(Qi&lt;&gt;0,Vu/Qi,0)</f>
        <v>640381.87914675032</v>
      </c>
      <c r="H52" s="464"/>
      <c r="I52" s="466" t="s">
        <v>29</v>
      </c>
      <c r="J52" s="363" t="s">
        <v>109</v>
      </c>
      <c r="K52" s="469" t="str">
        <f>CONCATENATE(TEXT(ROUNDDOWN($G$52/3600,0),"0")," h ",TEXT(MOD($G$52,3600)/60,"00")," mn")</f>
        <v>177 h 53 mn</v>
      </c>
      <c r="L52" s="470"/>
      <c r="M52" s="14"/>
    </row>
    <row r="53" spans="1:16" ht="15.95" customHeight="1" thickBot="1">
      <c r="A53" s="107"/>
      <c r="B53" s="108"/>
      <c r="C53" s="108"/>
      <c r="D53" s="463"/>
      <c r="E53" s="463"/>
      <c r="F53" s="463"/>
      <c r="G53" s="465"/>
      <c r="H53" s="465"/>
      <c r="I53" s="467"/>
      <c r="J53" s="468"/>
      <c r="K53" s="471"/>
      <c r="L53" s="472"/>
      <c r="M53" s="14"/>
    </row>
    <row r="54" spans="1:16" s="42" customFormat="1" ht="15.95" customHeight="1" thickBot="1">
      <c r="A54" s="338" t="s">
        <v>108</v>
      </c>
      <c r="B54" s="339"/>
      <c r="C54" s="339"/>
      <c r="D54" s="339"/>
      <c r="E54" s="339"/>
      <c r="F54" s="339"/>
      <c r="G54" s="339"/>
      <c r="H54" s="339"/>
      <c r="I54" s="339"/>
      <c r="J54" s="339"/>
      <c r="K54" s="339"/>
      <c r="L54" s="340"/>
      <c r="M54" s="20"/>
      <c r="N54" s="8"/>
      <c r="O54" s="21"/>
      <c r="P54" s="21"/>
    </row>
    <row r="55" spans="1:16" ht="15.95" customHeight="1">
      <c r="A55" s="267"/>
      <c r="B55" s="268"/>
      <c r="C55" s="106" t="s">
        <v>78</v>
      </c>
      <c r="D55" s="349" t="s">
        <v>128</v>
      </c>
      <c r="E55" s="350"/>
      <c r="F55" s="350"/>
      <c r="G55" s="350"/>
      <c r="H55" s="350"/>
      <c r="I55" s="350"/>
      <c r="J55" s="350"/>
      <c r="K55" s="350"/>
      <c r="L55" s="342"/>
      <c r="M55" s="43"/>
    </row>
    <row r="56" spans="1:16" ht="15.95" customHeight="1" thickBot="1">
      <c r="A56" s="269"/>
      <c r="B56" s="270"/>
      <c r="C56" s="108"/>
      <c r="D56" s="351"/>
      <c r="E56" s="352"/>
      <c r="F56" s="352"/>
      <c r="G56" s="352"/>
      <c r="H56" s="352"/>
      <c r="I56" s="352"/>
      <c r="J56" s="352"/>
      <c r="K56" s="352"/>
      <c r="L56" s="343"/>
      <c r="M56" s="43"/>
    </row>
    <row r="57" spans="1:16" ht="15.95" customHeight="1">
      <c r="A57" s="269"/>
      <c r="B57" s="270"/>
      <c r="C57" s="277" t="s">
        <v>111</v>
      </c>
      <c r="D57" s="323" t="s">
        <v>80</v>
      </c>
      <c r="E57" s="332"/>
      <c r="F57" s="332"/>
      <c r="G57" s="332" t="s">
        <v>44</v>
      </c>
      <c r="H57" s="332"/>
      <c r="I57" s="332"/>
      <c r="J57" s="332" t="s">
        <v>5</v>
      </c>
      <c r="K57" s="332"/>
      <c r="L57" s="333"/>
      <c r="N57" s="21"/>
    </row>
    <row r="58" spans="1:16" ht="15.95" customHeight="1">
      <c r="A58" s="269"/>
      <c r="B58" s="270"/>
      <c r="C58" s="277"/>
      <c r="D58" s="325"/>
      <c r="E58" s="334"/>
      <c r="F58" s="334"/>
      <c r="G58" s="334"/>
      <c r="H58" s="334"/>
      <c r="I58" s="334"/>
      <c r="J58" s="334"/>
      <c r="K58" s="334"/>
      <c r="L58" s="335"/>
      <c r="N58" s="21"/>
    </row>
    <row r="59" spans="1:16" ht="15.95" customHeight="1" thickBot="1">
      <c r="A59" s="269"/>
      <c r="B59" s="270"/>
      <c r="C59" s="277"/>
      <c r="D59" s="336"/>
      <c r="E59" s="337"/>
      <c r="F59" s="337"/>
      <c r="G59" s="337" t="s">
        <v>18</v>
      </c>
      <c r="H59" s="337"/>
      <c r="I59" s="337"/>
      <c r="J59" s="337" t="s">
        <v>25</v>
      </c>
      <c r="K59" s="337"/>
      <c r="L59" s="344"/>
      <c r="N59" s="44"/>
    </row>
    <row r="60" spans="1:16" ht="15.95" customHeight="1">
      <c r="A60" s="269"/>
      <c r="B60" s="270"/>
      <c r="C60" s="277"/>
      <c r="D60" s="304" t="s">
        <v>121</v>
      </c>
      <c r="E60" s="305"/>
      <c r="F60" s="306"/>
      <c r="G60" s="353">
        <v>0.3</v>
      </c>
      <c r="H60" s="354"/>
      <c r="I60" s="354"/>
      <c r="J60" s="357">
        <f>Vu/Iv</f>
        <v>166.22653333333332</v>
      </c>
      <c r="K60" s="358"/>
      <c r="L60" s="320" t="s">
        <v>4</v>
      </c>
      <c r="M60" s="14"/>
      <c r="N60" s="44"/>
    </row>
    <row r="61" spans="1:16" ht="15.95" customHeight="1" thickBot="1">
      <c r="A61" s="269"/>
      <c r="B61" s="270"/>
      <c r="C61" s="277"/>
      <c r="D61" s="307"/>
      <c r="E61" s="308"/>
      <c r="F61" s="309"/>
      <c r="G61" s="355"/>
      <c r="H61" s="356"/>
      <c r="I61" s="356"/>
      <c r="J61" s="359"/>
      <c r="K61" s="360"/>
      <c r="L61" s="329"/>
      <c r="M61" s="14"/>
    </row>
    <row r="62" spans="1:16" ht="15.95" customHeight="1">
      <c r="A62" s="269"/>
      <c r="B62" s="270"/>
      <c r="C62" s="303" t="s">
        <v>110</v>
      </c>
      <c r="D62" s="323" t="s">
        <v>28</v>
      </c>
      <c r="E62" s="324"/>
      <c r="F62" s="324"/>
      <c r="G62" s="324" t="s">
        <v>42</v>
      </c>
      <c r="H62" s="324"/>
      <c r="I62" s="324"/>
      <c r="J62" s="324" t="s">
        <v>6</v>
      </c>
      <c r="K62" s="324"/>
      <c r="L62" s="345"/>
    </row>
    <row r="63" spans="1:16" ht="15.95" customHeight="1">
      <c r="A63" s="269"/>
      <c r="B63" s="270"/>
      <c r="C63" s="277"/>
      <c r="D63" s="325"/>
      <c r="E63" s="326"/>
      <c r="F63" s="326"/>
      <c r="G63" s="326"/>
      <c r="H63" s="326"/>
      <c r="I63" s="326"/>
      <c r="J63" s="326"/>
      <c r="K63" s="326"/>
      <c r="L63" s="346"/>
    </row>
    <row r="64" spans="1:16" ht="15.95" customHeight="1" thickBot="1">
      <c r="A64" s="269"/>
      <c r="B64" s="270"/>
      <c r="C64" s="277"/>
      <c r="D64" s="341" t="str">
        <f>IF(Données!$C$1&lt;4,CONCATENATE("Hs &gt; ",TEXT(J60/Si," 0.00")," m"),"Hs")</f>
        <v>Hs</v>
      </c>
      <c r="E64" s="327"/>
      <c r="F64" s="327"/>
      <c r="G64" s="327" t="s">
        <v>35</v>
      </c>
      <c r="H64" s="327"/>
      <c r="I64" s="327"/>
      <c r="J64" s="327" t="s">
        <v>43</v>
      </c>
      <c r="K64" s="327"/>
      <c r="L64" s="328"/>
    </row>
    <row r="65" spans="1:16" ht="15.95" customHeight="1">
      <c r="A65" s="269"/>
      <c r="B65" s="270"/>
      <c r="C65" s="277"/>
      <c r="D65" s="311">
        <v>0.5</v>
      </c>
      <c r="E65" s="312"/>
      <c r="F65" s="321" t="s">
        <v>7</v>
      </c>
      <c r="G65" s="311">
        <v>0.7</v>
      </c>
      <c r="H65" s="312"/>
      <c r="I65" s="315" t="s">
        <v>7</v>
      </c>
      <c r="J65" s="317">
        <f>IF(ISBLANK(Pn),"",Pn-Hs-Hc)</f>
        <v>1.8</v>
      </c>
      <c r="K65" s="317"/>
      <c r="L65" s="319" t="s">
        <v>7</v>
      </c>
      <c r="M65" s="14"/>
    </row>
    <row r="66" spans="1:16" ht="15.95" customHeight="1" thickBot="1">
      <c r="A66" s="269"/>
      <c r="B66" s="270"/>
      <c r="C66" s="277"/>
      <c r="D66" s="313"/>
      <c r="E66" s="314"/>
      <c r="F66" s="322"/>
      <c r="G66" s="313"/>
      <c r="H66" s="314"/>
      <c r="I66" s="316"/>
      <c r="J66" s="318"/>
      <c r="K66" s="318"/>
      <c r="L66" s="320"/>
      <c r="M66" s="14"/>
    </row>
    <row r="67" spans="1:16" s="23" customFormat="1" ht="15.95" customHeight="1">
      <c r="A67" s="45"/>
      <c r="B67" s="45"/>
      <c r="C67" s="46"/>
      <c r="D67" s="47"/>
      <c r="E67" s="47"/>
      <c r="F67" s="48"/>
      <c r="G67" s="47"/>
      <c r="H67" s="47"/>
      <c r="I67" s="48"/>
      <c r="J67" s="49"/>
      <c r="K67" s="49"/>
      <c r="L67" s="48"/>
      <c r="M67" s="41"/>
      <c r="N67" s="8"/>
      <c r="O67" s="8"/>
      <c r="P67" s="8"/>
    </row>
    <row r="68" spans="1:16" s="56" customFormat="1" ht="15.95" customHeight="1">
      <c r="A68" s="50"/>
      <c r="B68" s="50"/>
      <c r="C68" s="51"/>
      <c r="D68" s="52"/>
      <c r="E68" s="52"/>
      <c r="F68" s="53"/>
      <c r="G68" s="52"/>
      <c r="H68" s="52"/>
      <c r="I68" s="53"/>
      <c r="J68" s="54"/>
      <c r="K68" s="54"/>
      <c r="L68" s="53"/>
      <c r="M68" s="55"/>
      <c r="N68" s="8"/>
      <c r="O68" s="44"/>
      <c r="P68" s="44"/>
    </row>
    <row r="69" spans="1:16" s="23" customFormat="1" ht="15.95" customHeight="1">
      <c r="A69" s="50"/>
      <c r="B69" s="50"/>
      <c r="C69" s="51"/>
      <c r="D69" s="52"/>
      <c r="E69" s="52"/>
      <c r="F69" s="53"/>
      <c r="G69" s="52"/>
      <c r="H69" s="52"/>
      <c r="I69" s="53"/>
      <c r="J69" s="54"/>
      <c r="K69" s="54"/>
      <c r="L69" s="53"/>
      <c r="M69" s="41"/>
      <c r="N69" s="8"/>
      <c r="O69" s="8"/>
      <c r="P69" s="8"/>
    </row>
    <row r="70" spans="1:16" ht="14.1" customHeight="1">
      <c r="A70" s="310" t="str">
        <f ca="1">CONCATENATE("Bordeaux Métropole - Direction de l'EAU - 2012 ", IF(YEAR(NOW())&lt;&gt;2012,YEAR(NOW()),""))</f>
        <v>Bordeaux Métropole - Direction de l'EAU - 2012 2021</v>
      </c>
      <c r="B70" s="310"/>
      <c r="C70" s="310"/>
      <c r="D70" s="310"/>
      <c r="E70" s="310"/>
      <c r="F70" s="310"/>
      <c r="G70" s="310"/>
      <c r="H70" s="310"/>
      <c r="I70" s="310"/>
      <c r="J70" s="310"/>
      <c r="K70" s="310"/>
      <c r="L70" s="310"/>
      <c r="N70" s="44"/>
    </row>
    <row r="71" spans="1:16" ht="26.1" customHeight="1">
      <c r="N71" s="59"/>
    </row>
    <row r="72" spans="1:16" ht="26.1" customHeight="1">
      <c r="N72" s="60"/>
    </row>
    <row r="73" spans="1:16" ht="26.1" customHeight="1">
      <c r="G73" s="10"/>
      <c r="N73" s="44"/>
    </row>
  </sheetData>
  <sheetProtection algorithmName="SHA-512" hashValue="N8lWW9AixO/z1w4mIUsjhOJaXFG0lIlYWbiAt0Kep+/lKHYdyEh6jChGpFn0CjwKvgiAOMJRY9sahucOXlGWBg==" saltValue="vdhR1VwOI3YGxv+xP83fDA==" spinCount="100000" sheet="1"/>
  <dataConsolidate/>
  <mergeCells count="142">
    <mergeCell ref="N1:O3"/>
    <mergeCell ref="N4:P6"/>
    <mergeCell ref="D52:F53"/>
    <mergeCell ref="G52:H53"/>
    <mergeCell ref="I52:I53"/>
    <mergeCell ref="J52:J53"/>
    <mergeCell ref="K52:L53"/>
    <mergeCell ref="D44:F45"/>
    <mergeCell ref="D14:E15"/>
    <mergeCell ref="F14:F15"/>
    <mergeCell ref="N13:N14"/>
    <mergeCell ref="L14:L15"/>
    <mergeCell ref="G14:H15"/>
    <mergeCell ref="I14:I15"/>
    <mergeCell ref="J14:K15"/>
    <mergeCell ref="G20:I21"/>
    <mergeCell ref="L28:L29"/>
    <mergeCell ref="D31:I32"/>
    <mergeCell ref="A30:L30"/>
    <mergeCell ref="J28:K29"/>
    <mergeCell ref="A26:A29"/>
    <mergeCell ref="D22:F22"/>
    <mergeCell ref="A20:C24"/>
    <mergeCell ref="D28:I29"/>
    <mergeCell ref="A25:L25"/>
    <mergeCell ref="A1:L3"/>
    <mergeCell ref="B7:L7"/>
    <mergeCell ref="L16:L17"/>
    <mergeCell ref="B10:B11"/>
    <mergeCell ref="A6:A7"/>
    <mergeCell ref="B6:L6"/>
    <mergeCell ref="D12:F12"/>
    <mergeCell ref="G13:I13"/>
    <mergeCell ref="J13:L13"/>
    <mergeCell ref="A10:A11"/>
    <mergeCell ref="C9:F9"/>
    <mergeCell ref="G10:I11"/>
    <mergeCell ref="G9:I9"/>
    <mergeCell ref="J10:L11"/>
    <mergeCell ref="J9:L9"/>
    <mergeCell ref="C10:F10"/>
    <mergeCell ref="C11:F11"/>
    <mergeCell ref="A8:L8"/>
    <mergeCell ref="I16:I17"/>
    <mergeCell ref="D16:E17"/>
    <mergeCell ref="F16:F17"/>
    <mergeCell ref="G12:I12"/>
    <mergeCell ref="J12:L12"/>
    <mergeCell ref="D13:F13"/>
    <mergeCell ref="A12:C13"/>
    <mergeCell ref="B14:C15"/>
    <mergeCell ref="B16:C17"/>
    <mergeCell ref="G16:H17"/>
    <mergeCell ref="A14:A19"/>
    <mergeCell ref="B18:C19"/>
    <mergeCell ref="I18:I19"/>
    <mergeCell ref="D18:E19"/>
    <mergeCell ref="F18:F19"/>
    <mergeCell ref="B28:C29"/>
    <mergeCell ref="L40:L41"/>
    <mergeCell ref="J31:L32"/>
    <mergeCell ref="J38:K39"/>
    <mergeCell ref="L26:L27"/>
    <mergeCell ref="L38:L39"/>
    <mergeCell ref="G22:I22"/>
    <mergeCell ref="J18:K19"/>
    <mergeCell ref="D40:I41"/>
    <mergeCell ref="D38:I39"/>
    <mergeCell ref="A40:C41"/>
    <mergeCell ref="A38:C39"/>
    <mergeCell ref="A33:C34"/>
    <mergeCell ref="J40:K41"/>
    <mergeCell ref="G18:H19"/>
    <mergeCell ref="G23:H24"/>
    <mergeCell ref="D26:F27"/>
    <mergeCell ref="D23:E24"/>
    <mergeCell ref="D20:F21"/>
    <mergeCell ref="I23:I24"/>
    <mergeCell ref="J23:K24"/>
    <mergeCell ref="J22:L22"/>
    <mergeCell ref="L18:L19"/>
    <mergeCell ref="B26:C27"/>
    <mergeCell ref="J16:K17"/>
    <mergeCell ref="L23:L24"/>
    <mergeCell ref="J44:J45"/>
    <mergeCell ref="K44:K45"/>
    <mergeCell ref="J20:L21"/>
    <mergeCell ref="L36:L37"/>
    <mergeCell ref="J26:K27"/>
    <mergeCell ref="D42:I43"/>
    <mergeCell ref="D50:I51"/>
    <mergeCell ref="G44:H45"/>
    <mergeCell ref="I44:I45"/>
    <mergeCell ref="D48:I49"/>
    <mergeCell ref="D36:K37"/>
    <mergeCell ref="A35:L35"/>
    <mergeCell ref="D33:I34"/>
    <mergeCell ref="L42:L43"/>
    <mergeCell ref="J48:K49"/>
    <mergeCell ref="L48:L49"/>
    <mergeCell ref="L44:L45"/>
    <mergeCell ref="J42:K43"/>
    <mergeCell ref="J46:K47"/>
    <mergeCell ref="L46:L47"/>
    <mergeCell ref="A36:C37"/>
    <mergeCell ref="A31:C32"/>
    <mergeCell ref="A42:C43"/>
    <mergeCell ref="A44:C45"/>
    <mergeCell ref="A48:C49"/>
    <mergeCell ref="J50:K51"/>
    <mergeCell ref="J57:L58"/>
    <mergeCell ref="D57:F59"/>
    <mergeCell ref="A54:L54"/>
    <mergeCell ref="A55:B66"/>
    <mergeCell ref="D64:F64"/>
    <mergeCell ref="L55:L56"/>
    <mergeCell ref="J59:L59"/>
    <mergeCell ref="J62:L63"/>
    <mergeCell ref="L50:L51"/>
    <mergeCell ref="A52:C53"/>
    <mergeCell ref="A50:C51"/>
    <mergeCell ref="G59:I59"/>
    <mergeCell ref="G64:I64"/>
    <mergeCell ref="C55:C56"/>
    <mergeCell ref="D55:K56"/>
    <mergeCell ref="G62:I63"/>
    <mergeCell ref="C57:C61"/>
    <mergeCell ref="G57:I58"/>
    <mergeCell ref="G60:I61"/>
    <mergeCell ref="J60:K61"/>
    <mergeCell ref="D60:F61"/>
    <mergeCell ref="A70:L70"/>
    <mergeCell ref="G65:H66"/>
    <mergeCell ref="I65:I66"/>
    <mergeCell ref="J65:K66"/>
    <mergeCell ref="L65:L66"/>
    <mergeCell ref="D65:E66"/>
    <mergeCell ref="F65:F66"/>
    <mergeCell ref="C62:C66"/>
    <mergeCell ref="D62:F63"/>
    <mergeCell ref="J64:L64"/>
    <mergeCell ref="L60:L61"/>
  </mergeCells>
  <phoneticPr fontId="1" type="noConversion"/>
  <conditionalFormatting sqref="K52">
    <cfRule type="expression" dxfId="5" priority="1" stopIfTrue="1">
      <formula>$G$52&gt;86400</formula>
    </cfRule>
  </conditionalFormatting>
  <conditionalFormatting sqref="J40:K41">
    <cfRule type="expression" dxfId="4" priority="2" stopIfTrue="1">
      <formula>$G$52&gt;86400</formula>
    </cfRule>
  </conditionalFormatting>
  <conditionalFormatting sqref="J60:K61">
    <cfRule type="cellIs" dxfId="3" priority="3" stopIfTrue="1" operator="lessThan">
      <formula>$J$48</formula>
    </cfRule>
  </conditionalFormatting>
  <conditionalFormatting sqref="L40:L41">
    <cfRule type="expression" dxfId="2" priority="4" stopIfTrue="1">
      <formula>$G$52&gt;86400</formula>
    </cfRule>
  </conditionalFormatting>
  <conditionalFormatting sqref="L65:L66">
    <cfRule type="expression" dxfId="1" priority="5" stopIfTrue="1">
      <formula>$J$65&lt;1</formula>
    </cfRule>
  </conditionalFormatting>
  <conditionalFormatting sqref="J65:K66">
    <cfRule type="cellIs" dxfId="0" priority="6" stopIfTrue="1" operator="lessThan">
      <formula>1</formula>
    </cfRule>
  </conditionalFormatting>
  <dataValidations count="14">
    <dataValidation type="decimal" operator="greaterThanOrEqual" allowBlank="1" showInputMessage="1" showErrorMessage="1" sqref="J60" xr:uid="{00000000-0002-0000-0200-000000000000}">
      <formula1>J48</formula1>
    </dataValidation>
    <dataValidation type="whole" allowBlank="1" showInputMessage="1" showErrorMessage="1" sqref="J40:K41" xr:uid="{00000000-0002-0000-0200-000001000000}">
      <formula1>J38</formula1>
      <formula2>G23</formula2>
    </dataValidation>
    <dataValidation type="decimal" allowBlank="1" showInputMessage="1" showErrorMessage="1" promptTitle="Attention" prompt="La valeur saisie ne peut être inférieure au volume réel de l'ouvrage/surface d'infiltration mise en oeuvre." sqref="D65:E66" xr:uid="{00000000-0002-0000-0200-000002000000}">
      <formula1>J60/J40</formula1>
      <formula2>Pn-J60/J40-0.1</formula2>
    </dataValidation>
    <dataValidation type="list" allowBlank="1" showInputMessage="1" showErrorMessage="1" sqref="D36:K37" xr:uid="{00000000-0002-0000-0200-000003000000}">
      <formula1>"A ciel ouvert,Sous revêtement imperméable ou Tranchée drainante ou puisard "</formula1>
    </dataValidation>
    <dataValidation type="list" allowBlank="1" showInputMessage="1" showErrorMessage="1" sqref="D55" xr:uid="{00000000-0002-0000-0200-000004000000}">
      <formula1>"Structure réservoir,Bassin,Noue,Tranchée drainante,Puisard"</formula1>
    </dataValidation>
    <dataValidation type="whole" operator="greaterThanOrEqual" allowBlank="1" showInputMessage="1" showErrorMessage="1" sqref="I18 I16 G14:H19 I14" xr:uid="{00000000-0002-0000-0200-000005000000}">
      <formula1>0</formula1>
    </dataValidation>
    <dataValidation type="list" allowBlank="1" showInputMessage="1" showErrorMessage="1" sqref="G60:I61" xr:uid="{00000000-0002-0000-0200-000006000000}">
      <mc:AlternateContent xmlns:x12ac="http://schemas.microsoft.com/office/spreadsheetml/2011/1/ac" xmlns:mc="http://schemas.openxmlformats.org/markup-compatibility/2006">
        <mc:Choice Requires="x12ac">
          <x12ac:list>1,"0,95","0,9","0,85","0,8","0,75","0,7","0,65","0,6","0,55","0,5","0,45","0,4","0,35","0,3"</x12ac:list>
        </mc:Choice>
        <mc:Fallback>
          <formula1>"1,0,95,0,9,0,85,0,8,0,75,0,7,0,65,0,6,0,55,0,5,0,45,0,4,0,35,0,3"</formula1>
        </mc:Fallback>
      </mc:AlternateContent>
    </dataValidation>
    <dataValidation type="decimal" operator="greaterThan" allowBlank="1" showInputMessage="1" showErrorMessage="1" sqref="J28:K29" xr:uid="{00000000-0002-0000-0200-000007000000}">
      <formula1>1</formula1>
    </dataValidation>
    <dataValidation type="decimal" allowBlank="1" showInputMessage="1" showErrorMessage="1" sqref="J26 G27" xr:uid="{00000000-0002-0000-0200-000008000000}">
      <formula1>0.0000029</formula1>
      <formula2>0.0011</formula2>
    </dataValidation>
    <dataValidation type="list" allowBlank="1" showInputMessage="1" showErrorMessage="1" sqref="D60:F61" xr:uid="{00000000-0002-0000-0200-000009000000}">
      <formula1>"diorite 40/70,alvéolaire,autre,sans"</formula1>
    </dataValidation>
    <dataValidation type="decimal" operator="greaterThanOrEqual" allowBlank="1" showInputMessage="1" showErrorMessage="1" sqref="G65:H66" xr:uid="{00000000-0002-0000-0200-00000A000000}">
      <formula1>0.15</formula1>
    </dataValidation>
    <dataValidation type="list" allowBlank="1" showInputMessage="1" showErrorMessage="1" sqref="J10:L11" xr:uid="{00000000-0002-0000-0200-00000B000000}">
      <formula1>$N$15:$N$42</formula1>
    </dataValidation>
    <dataValidation type="decimal" allowBlank="1" showInputMessage="1" showErrorMessage="1" errorTitle="Alerte" error="Valeur en dehors des bornes usuelles, veuillez utiliser la feuille de calcul à rejet limité." promptTitle="Attention" prompt="La valeur saisie doit être comprise entre 10E-3 et 3x10E-6." sqref="G26" xr:uid="{00000000-0002-0000-0200-00000D000000}">
      <formula1>10.7</formula1>
      <formula2>3960</formula2>
    </dataValidation>
    <dataValidation type="whole" allowBlank="1" showInputMessage="1" showErrorMessage="1" sqref="J38" xr:uid="{00000000-0002-0000-0200-00000E000000}">
      <formula1>J38</formula1>
      <formula2>G23</formula2>
    </dataValidation>
  </dataValidations>
  <printOptions horizontalCentered="1" verticalCentered="1"/>
  <pageMargins left="0.39370078740157483" right="0.39370078740157483" top="0.39370078740157483" bottom="0.39370078740157483" header="0.19685039370078741" footer="0.51181102362204722"/>
  <pageSetup paperSize="9" scale="66" orientation="portrait" verticalDpi="4"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6E78717A65D14290C3E4AF92E14A55" ma:contentTypeVersion="13" ma:contentTypeDescription="Crée un document." ma:contentTypeScope="" ma:versionID="d4fabf4065b237e3631265d0706425b2">
  <xsd:schema xmlns:xsd="http://www.w3.org/2001/XMLSchema" xmlns:xs="http://www.w3.org/2001/XMLSchema" xmlns:p="http://schemas.microsoft.com/office/2006/metadata/properties" xmlns:ns2="ec7eca07-e32e-459d-81ac-217dece79520" xmlns:ns3="e2329f42-97ad-4d59-82a1-8ceab23f38e2" targetNamespace="http://schemas.microsoft.com/office/2006/metadata/properties" ma:root="true" ma:fieldsID="5d30a5b65c316686ad264e4c19f1af19" ns2:_="" ns3:_="">
    <xsd:import namespace="ec7eca07-e32e-459d-81ac-217dece79520"/>
    <xsd:import namespace="e2329f42-97ad-4d59-82a1-8ceab23f38e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eca07-e32e-459d-81ac-217dece795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Balises d’images" ma:readOnly="false" ma:fieldId="{5cf76f15-5ced-4ddc-b409-7134ff3c332f}" ma:taxonomyMulti="true" ma:sspId="63ec68f7-4221-4349-bfcd-67a6e0f7fa51"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329f42-97ad-4d59-82a1-8ceab23f38e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c0c956b-f255-42f2-9439-e3f1c8c933b7}" ma:internalName="TaxCatchAll" ma:showField="CatchAllData" ma:web="e2329f42-97ad-4d59-82a1-8ceab23f38e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2329f42-97ad-4d59-82a1-8ceab23f38e2" xsi:nil="true"/>
    <lcf76f155ced4ddcb4097134ff3c332f xmlns="ec7eca07-e32e-459d-81ac-217dece7952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9DADA60-36D7-4CAD-92F8-2587346D2E88}"/>
</file>

<file path=customXml/itemProps2.xml><?xml version="1.0" encoding="utf-8"?>
<ds:datastoreItem xmlns:ds="http://schemas.openxmlformats.org/officeDocument/2006/customXml" ds:itemID="{D8119795-A738-4E5C-A386-318F4F5A5CA5}"/>
</file>

<file path=customXml/itemProps3.xml><?xml version="1.0" encoding="utf-8"?>
<ds:datastoreItem xmlns:ds="http://schemas.openxmlformats.org/officeDocument/2006/customXml" ds:itemID="{A835907A-1DC5-4035-BEBE-B6BAAAAE42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24</vt:i4>
      </vt:variant>
    </vt:vector>
  </HeadingPairs>
  <TitlesOfParts>
    <vt:vector size="27" baseType="lpstr">
      <vt:lpstr>Données</vt:lpstr>
      <vt:lpstr>F1a infiltration</vt:lpstr>
      <vt:lpstr>F1a infiltration (lignes masq)</vt:lpstr>
      <vt:lpstr>'F1a infiltration (lignes masq)'!Cs</vt:lpstr>
      <vt:lpstr>Cs</vt:lpstr>
      <vt:lpstr>'F1a infiltration (lignes masq)'!Hc</vt:lpstr>
      <vt:lpstr>Hc</vt:lpstr>
      <vt:lpstr>'F1a infiltration (lignes masq)'!Hs</vt:lpstr>
      <vt:lpstr>Hs</vt:lpstr>
      <vt:lpstr>'F1a infiltration (lignes masq)'!Iv</vt:lpstr>
      <vt:lpstr>Iv</vt:lpstr>
      <vt:lpstr>'F1a infiltration (lignes masq)'!K</vt:lpstr>
      <vt:lpstr>K</vt:lpstr>
      <vt:lpstr>'F1a infiltration (lignes masq)'!Pn</vt:lpstr>
      <vt:lpstr>Pn</vt:lpstr>
      <vt:lpstr>'F1a infiltration (lignes masq)'!Qi</vt:lpstr>
      <vt:lpstr>Qi</vt:lpstr>
      <vt:lpstr>'F1a infiltration (lignes masq)'!Sa</vt:lpstr>
      <vt:lpstr>Sa</vt:lpstr>
      <vt:lpstr>'F1a infiltration (lignes masq)'!Sa_total</vt:lpstr>
      <vt:lpstr>Sa_total</vt:lpstr>
      <vt:lpstr>'F1a infiltration (lignes masq)'!Si</vt:lpstr>
      <vt:lpstr>Si</vt:lpstr>
      <vt:lpstr>'F1a infiltration (lignes masq)'!Vu</vt:lpstr>
      <vt:lpstr>Vu</vt:lpstr>
      <vt:lpstr>'F1a infiltration'!Zone_d_impression</vt:lpstr>
      <vt:lpstr>'F1a infiltration (lignes masq)'!Zone_d_impression</vt:lpstr>
    </vt:vector>
  </TitlesOfParts>
  <Company>CUB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1 - Feuille de saisie infiltration</dc:title>
  <dc:subject>Guide des solutions compensatoires</dc:subject>
  <dc:creator>jjsigaud</dc:creator>
  <cp:lastModifiedBy>TAUPIN Brice</cp:lastModifiedBy>
  <cp:lastPrinted>2012-03-29T09:18:54Z</cp:lastPrinted>
  <dcterms:created xsi:type="dcterms:W3CDTF">2012-02-07T10:31:46Z</dcterms:created>
  <dcterms:modified xsi:type="dcterms:W3CDTF">2021-12-20T13:41:44Z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y fmtid="{D5CDD505-2E9C-101B-9397-08002B2CF9AE}" pid="3" name="ContentTypeId">
    <vt:lpwstr>0x010100836E78717A65D14290C3E4AF92E14A55</vt:lpwstr>
  </property>
  <property fmtid="{D5CDD505-2E9C-101B-9397-08002B2CF9AE}" pid="4" name="Order">
    <vt:r8>100</vt:r8>
  </property>
</Properties>
</file>